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pivotTables/pivotTable1.xml" ContentType="application/vnd.openxmlformats-officedocument.spreadsheetml.pivotTable+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xr:revisionPtr revIDLastSave="0" documentId="8_{DEC6FEF9-320A-4ACB-B81D-416BA5C3103F}" xr6:coauthVersionLast="47" xr6:coauthVersionMax="47" xr10:uidLastSave="{00000000-0000-0000-0000-000000000000}"/>
  <bookViews>
    <workbookView xWindow="0" yWindow="0" windowWidth="0" windowHeight="0" xr2:uid="{00000000-000D-0000-FFFF-FFFF00000000}"/>
  </bookViews>
  <sheets>
    <sheet name="Overview" sheetId="1" r:id="rId1"/>
    <sheet name="1. Technology Description" sheetId="2" r:id="rId2"/>
    <sheet name="2. Cost Inputs" sheetId="3" r:id="rId3"/>
    <sheet name="3. Outputs" sheetId="4" r:id="rId4"/>
    <sheet name="Model" sheetId="5" state="hidden" r:id="rId5"/>
    <sheet name="4. NOAK Analysis" sheetId="6" r:id="rId6"/>
    <sheet name="Databases" sheetId="7" state="hidden" r:id="rId7"/>
  </sheets>
  <externalReferences>
    <externalReference r:id="rId8"/>
  </externalReferences>
  <definedNames>
    <definedName name="Adjust1">#REF!</definedName>
    <definedName name="adjust2">#REF!</definedName>
    <definedName name="adjust3">#REF!</definedName>
    <definedName name="adjust4">#REF!</definedName>
    <definedName name="Checks_Alerts">#REF!</definedName>
    <definedName name="Checks_Warnings">#REF!</definedName>
    <definedName name="Choice">#REF!</definedName>
    <definedName name="Con_End">#REF!</definedName>
    <definedName name="Con_Start">#REF!</definedName>
    <definedName name="DataTable_3SensitivityAnalysis_L35">#REF!</definedName>
    <definedName name="DataTable_3SensitivityAnalysis_L44">#REF!</definedName>
    <definedName name="DataTable_3SensitivityAnalysis_L53">#REF!</definedName>
    <definedName name="DataTable_3SensitivityAnalysis_L62">#REF!</definedName>
    <definedName name="DataTable_3SensitivityAnalysis_L71">#REF!</definedName>
    <definedName name="Days_yr">#REF!</definedName>
    <definedName name="Debt_Copy">#REF!</definedName>
    <definedName name="Debt_Delta">#REF!</definedName>
    <definedName name="Debt_Paste">#REF!</definedName>
    <definedName name="DebtProfile_Copy">#REF!</definedName>
    <definedName name="DebtProfile_Paste">#REF!</definedName>
    <definedName name="DSRA_Copy">#REF!</definedName>
    <definedName name="DSRA_Delta">#REF!</definedName>
    <definedName name="DSRA_Paste">#REF!</definedName>
    <definedName name="growth">#REF!</definedName>
    <definedName name="List_DebtCalculate">#REF!</definedName>
    <definedName name="List_Depr">#REF!</definedName>
    <definedName name="List_EscProfile">#REF!</definedName>
    <definedName name="List_Gen">#REF!</definedName>
    <definedName name="List_MACRS">#REF!</definedName>
    <definedName name="List_OnOff">#REF!</definedName>
    <definedName name="List_Price">#REF!</definedName>
    <definedName name="List_Repay">#REF!</definedName>
    <definedName name="Master_Delta">#REF!</definedName>
    <definedName name="Million">#REF!</definedName>
    <definedName name="Model_Name">#REF!</definedName>
    <definedName name="Model_Start">#REF!</definedName>
    <definedName name="Months_halfyr">#REF!</definedName>
    <definedName name="Months_qtr">#REF!</definedName>
    <definedName name="Months_yr">#REF!</definedName>
    <definedName name="Ops_End">#REF!</definedName>
    <definedName name="Ops_Start">#REF!</definedName>
    <definedName name="Pi">#REF!</definedName>
    <definedName name="Qtrs_yr">#REF!</definedName>
    <definedName name="Scenario_Calculate">#REF!</definedName>
    <definedName name="Scenario_Copy">#REF!</definedName>
    <definedName name="Scenario_Max">#REF!</definedName>
    <definedName name="Scenario_Number">#REF!</definedName>
    <definedName name="Scenario_RunMaster">#REF!</definedName>
    <definedName name="Small_num">#REF!</definedName>
    <definedName name="Thousand">#REF!</definedName>
    <definedName name="Tolerance">#REF!</definedName>
    <definedName name="WACC">#REF!</definedName>
  </definedNames>
  <calcPr calcId="191028"/>
  <pivotCaches>
    <pivotCache cacheId="2976"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7" l="1"/>
  <c r="I32" i="7" s="1"/>
  <c r="G32" i="7"/>
  <c r="F32" i="7"/>
  <c r="H31" i="7"/>
  <c r="I31" i="7" s="1"/>
  <c r="G31" i="7"/>
  <c r="F31" i="7"/>
  <c r="H30" i="7"/>
  <c r="I30" i="7" s="1"/>
  <c r="G30" i="7"/>
  <c r="F30" i="7"/>
  <c r="H29" i="7"/>
  <c r="I29" i="7" s="1"/>
  <c r="G29" i="7"/>
  <c r="F29" i="7"/>
  <c r="H28" i="7"/>
  <c r="I28" i="7" s="1"/>
  <c r="G28" i="7"/>
  <c r="F28" i="7"/>
  <c r="H27" i="7"/>
  <c r="I27" i="7" s="1"/>
  <c r="G27" i="7"/>
  <c r="F27" i="7"/>
  <c r="H26" i="7"/>
  <c r="I26" i="7" s="1"/>
  <c r="G26" i="7"/>
  <c r="F26" i="7"/>
  <c r="H25" i="7"/>
  <c r="I25" i="7" s="1"/>
  <c r="G25" i="7"/>
  <c r="F25" i="7"/>
  <c r="H24" i="7"/>
  <c r="I24" i="7" s="1"/>
  <c r="G24" i="7"/>
  <c r="F24" i="7"/>
  <c r="H23" i="7"/>
  <c r="I23" i="7" s="1"/>
  <c r="G23" i="7"/>
  <c r="F23" i="7"/>
  <c r="H22" i="7"/>
  <c r="I22" i="7" s="1"/>
  <c r="G22" i="7"/>
  <c r="F22" i="7"/>
  <c r="H21" i="7"/>
  <c r="I21" i="7" s="1"/>
  <c r="G21" i="7"/>
  <c r="F21" i="7"/>
  <c r="H20" i="7"/>
  <c r="I20" i="7" s="1"/>
  <c r="G20" i="7"/>
  <c r="F20" i="7"/>
  <c r="H19" i="7"/>
  <c r="I19" i="7" s="1"/>
  <c r="G19" i="7"/>
  <c r="F19" i="7"/>
  <c r="H18" i="7"/>
  <c r="I18" i="7" s="1"/>
  <c r="G18" i="7"/>
  <c r="F18" i="7"/>
  <c r="H17" i="7"/>
  <c r="I17" i="7" s="1"/>
  <c r="G17" i="7"/>
  <c r="F17" i="7"/>
  <c r="H16" i="7"/>
  <c r="I16" i="7" s="1"/>
  <c r="G16" i="7"/>
  <c r="F16" i="7"/>
  <c r="H15" i="7"/>
  <c r="I15" i="7" s="1"/>
  <c r="G15" i="7"/>
  <c r="F15" i="7"/>
  <c r="H14" i="7"/>
  <c r="I14" i="7" s="1"/>
  <c r="G14" i="7"/>
  <c r="F14" i="7"/>
  <c r="H13" i="7"/>
  <c r="I13" i="7" s="1"/>
  <c r="G13" i="7"/>
  <c r="F13" i="7"/>
  <c r="H12" i="7"/>
  <c r="I12" i="7" s="1"/>
  <c r="G12" i="7"/>
  <c r="F12" i="7"/>
  <c r="H11" i="7"/>
  <c r="I11" i="7" s="1"/>
  <c r="G11" i="7"/>
  <c r="F11" i="7"/>
  <c r="H10" i="7"/>
  <c r="I10" i="7" s="1"/>
  <c r="G10" i="7"/>
  <c r="F10" i="7"/>
  <c r="H9" i="7"/>
  <c r="I9" i="7" s="1"/>
  <c r="G9" i="7"/>
  <c r="F9" i="7"/>
  <c r="H8" i="7"/>
  <c r="I8" i="7" s="1"/>
  <c r="G8" i="7"/>
  <c r="F8" i="7"/>
  <c r="H7" i="7"/>
  <c r="I7" i="7" s="1"/>
  <c r="G7" i="7"/>
  <c r="F7" i="7"/>
  <c r="B7" i="7"/>
  <c r="M6" i="7"/>
  <c r="H6" i="7"/>
  <c r="I6" i="7" s="1"/>
  <c r="G6" i="7"/>
  <c r="F6" i="7"/>
  <c r="M5" i="7"/>
  <c r="M4" i="7"/>
  <c r="B92" i="6"/>
  <c r="C91" i="6"/>
  <c r="A89" i="6"/>
  <c r="A123" i="6" s="1"/>
  <c r="C36" i="6"/>
  <c r="A35" i="6"/>
  <c r="T58" i="6" s="1"/>
  <c r="A34" i="6"/>
  <c r="S58" i="6" s="1"/>
  <c r="A33" i="6"/>
  <c r="R58" i="6" s="1"/>
  <c r="A30" i="6"/>
  <c r="O58" i="6" s="1"/>
  <c r="A29" i="6"/>
  <c r="N58" i="6" s="1"/>
  <c r="A28" i="6"/>
  <c r="M58" i="6" s="1"/>
  <c r="A27" i="6"/>
  <c r="L58" i="6" s="1"/>
  <c r="A26" i="6"/>
  <c r="K58" i="6" s="1"/>
  <c r="A25" i="6"/>
  <c r="J58" i="6" s="1"/>
  <c r="A23" i="6"/>
  <c r="I58" i="6" s="1"/>
  <c r="A22" i="6"/>
  <c r="H58" i="6" s="1"/>
  <c r="A21" i="6"/>
  <c r="G58" i="6" s="1"/>
  <c r="A20" i="6"/>
  <c r="F58" i="6" s="1"/>
  <c r="A19" i="6"/>
  <c r="E58" i="6" s="1"/>
  <c r="D14" i="6"/>
  <c r="B7" i="6"/>
  <c r="B14" i="6" s="1"/>
  <c r="C6" i="6"/>
  <c r="AK54" i="5"/>
  <c r="AK53" i="5"/>
  <c r="AK52" i="5"/>
  <c r="AK51" i="5"/>
  <c r="H46"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AK42" i="5"/>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H6" i="5"/>
  <c r="E6" i="5"/>
  <c r="G2" i="5"/>
  <c r="F2" i="5"/>
  <c r="H2" i="5" s="1"/>
  <c r="I1" i="5"/>
  <c r="A90" i="4"/>
  <c r="E86" i="4"/>
  <c r="E85" i="4"/>
  <c r="E84" i="4"/>
  <c r="E83" i="4"/>
  <c r="A83" i="4"/>
  <c r="E82" i="4"/>
  <c r="E81" i="4"/>
  <c r="E80" i="4"/>
  <c r="E79" i="4"/>
  <c r="G78" i="4"/>
  <c r="E78" i="4"/>
  <c r="A78" i="4"/>
  <c r="E77" i="4"/>
  <c r="A77" i="4"/>
  <c r="AE76" i="4"/>
  <c r="AF76" i="4" s="1"/>
  <c r="Q76" i="4"/>
  <c r="R76" i="4" s="1"/>
  <c r="G76" i="4"/>
  <c r="H76" i="4" s="1"/>
  <c r="E76" i="4"/>
  <c r="C55" i="4"/>
  <c r="B55" i="4"/>
  <c r="A55" i="4"/>
  <c r="A89" i="4" s="1"/>
  <c r="AC76" i="4" s="1"/>
  <c r="AD76" i="4" s="1"/>
  <c r="C54" i="4"/>
  <c r="B54" i="4"/>
  <c r="A54" i="4"/>
  <c r="A88" i="4" s="1"/>
  <c r="AA76" i="4" s="1"/>
  <c r="AB76" i="4" s="1"/>
  <c r="C53" i="4"/>
  <c r="B53" i="4"/>
  <c r="A53" i="4"/>
  <c r="A87" i="4" s="1"/>
  <c r="Y76" i="4" s="1"/>
  <c r="Z76" i="4" s="1"/>
  <c r="A52" i="4"/>
  <c r="A86" i="4" s="1"/>
  <c r="W76" i="4" s="1"/>
  <c r="X76" i="4" s="1"/>
  <c r="C51" i="4"/>
  <c r="B51" i="4"/>
  <c r="A51" i="4"/>
  <c r="A85" i="4" s="1"/>
  <c r="U76" i="4" s="1"/>
  <c r="V76" i="4" s="1"/>
  <c r="C50" i="4"/>
  <c r="B50" i="4"/>
  <c r="A50" i="4"/>
  <c r="A84" i="4" s="1"/>
  <c r="S76" i="4" s="1"/>
  <c r="T76" i="4" s="1"/>
  <c r="E49" i="4"/>
  <c r="C49" i="4"/>
  <c r="B49" i="4"/>
  <c r="C48" i="4"/>
  <c r="B48" i="4"/>
  <c r="A48" i="4"/>
  <c r="A82" i="4" s="1"/>
  <c r="O76" i="4" s="1"/>
  <c r="P76" i="4" s="1"/>
  <c r="C47" i="4"/>
  <c r="B47" i="4"/>
  <c r="C46" i="4"/>
  <c r="B46" i="4"/>
  <c r="C45" i="4"/>
  <c r="B45" i="4"/>
  <c r="E44" i="4"/>
  <c r="C44" i="4"/>
  <c r="D44" i="4" s="1"/>
  <c r="B44" i="4"/>
  <c r="E43" i="4"/>
  <c r="C43" i="4"/>
  <c r="D43" i="4" s="1"/>
  <c r="B43" i="4"/>
  <c r="C35" i="4"/>
  <c r="B35" i="4"/>
  <c r="A35" i="4"/>
  <c r="C34" i="4"/>
  <c r="A34" i="4"/>
  <c r="C33" i="4"/>
  <c r="A33" i="4"/>
  <c r="A32" i="4"/>
  <c r="C26" i="4"/>
  <c r="C25" i="4"/>
  <c r="C24" i="4"/>
  <c r="A24" i="4"/>
  <c r="A32" i="6" s="1"/>
  <c r="Q58" i="6" s="1"/>
  <c r="C23" i="4"/>
  <c r="A23" i="4"/>
  <c r="A31" i="6" s="1"/>
  <c r="P58" i="6" s="1"/>
  <c r="C22" i="4"/>
  <c r="C19" i="4"/>
  <c r="B18" i="4"/>
  <c r="B16" i="4"/>
  <c r="B15" i="4"/>
  <c r="B14" i="4"/>
  <c r="A14" i="4"/>
  <c r="G13" i="4"/>
  <c r="B13" i="4"/>
  <c r="A13" i="4"/>
  <c r="B12" i="4"/>
  <c r="A12" i="4"/>
  <c r="F10" i="4"/>
  <c r="C9" i="4"/>
  <c r="C8" i="4"/>
  <c r="B8" i="4"/>
  <c r="B92" i="3"/>
  <c r="H86" i="3"/>
  <c r="H81" i="3"/>
  <c r="H80" i="3"/>
  <c r="H79" i="3"/>
  <c r="H78" i="3"/>
  <c r="H76" i="3"/>
  <c r="H74" i="3"/>
  <c r="H63" i="3"/>
  <c r="H55" i="3"/>
  <c r="H54" i="3"/>
  <c r="H48" i="3"/>
  <c r="H39" i="3"/>
  <c r="H35" i="3"/>
  <c r="H34" i="3"/>
  <c r="H33" i="3"/>
  <c r="F15" i="3"/>
  <c r="D86" i="3" l="1"/>
  <c r="H73" i="3"/>
  <c r="C32" i="4"/>
  <c r="B99" i="3"/>
  <c r="G15" i="4" s="1"/>
  <c r="B9" i="4"/>
  <c r="A16" i="6"/>
  <c r="B58" i="6" s="1"/>
  <c r="A45" i="4"/>
  <c r="A79" i="4" s="1"/>
  <c r="I76" i="4" s="1"/>
  <c r="J76" i="4" s="1"/>
  <c r="B16" i="6"/>
  <c r="C12" i="4"/>
  <c r="A17" i="6"/>
  <c r="C58" i="6" s="1"/>
  <c r="A46" i="4"/>
  <c r="A80" i="4" s="1"/>
  <c r="K76" i="4" s="1"/>
  <c r="L76" i="4" s="1"/>
  <c r="B17" i="6"/>
  <c r="C13" i="4"/>
  <c r="A18" i="6"/>
  <c r="D58" i="6" s="1"/>
  <c r="A47" i="4"/>
  <c r="A81" i="4" s="1"/>
  <c r="M76" i="4" s="1"/>
  <c r="N76" i="4" s="1"/>
  <c r="B18" i="6"/>
  <c r="C14" i="4"/>
  <c r="B19" i="6"/>
  <c r="C15" i="4"/>
  <c r="B20" i="6"/>
  <c r="C16" i="4"/>
  <c r="B22" i="6"/>
  <c r="C18" i="4"/>
  <c r="H22" i="5"/>
  <c r="H24" i="5"/>
  <c r="I84" i="4"/>
  <c r="D45" i="4"/>
  <c r="K84" i="4"/>
  <c r="D46" i="4"/>
  <c r="M84" i="4"/>
  <c r="D47" i="4"/>
  <c r="O84" i="4"/>
  <c r="D48" i="4"/>
  <c r="Q84" i="4"/>
  <c r="D49" i="4"/>
  <c r="S84" i="4"/>
  <c r="D50" i="4"/>
  <c r="U84" i="4"/>
  <c r="D51" i="4"/>
  <c r="Y84" i="4"/>
  <c r="D53" i="4"/>
  <c r="AA84" i="4"/>
  <c r="D54" i="4"/>
  <c r="AC84" i="4"/>
  <c r="D55" i="4"/>
  <c r="AH91" i="4"/>
  <c r="AG91" i="4"/>
  <c r="AH90" i="4"/>
  <c r="AG90" i="4"/>
  <c r="AH89" i="4"/>
  <c r="AG89" i="4"/>
  <c r="AH88" i="4"/>
  <c r="AG88" i="4"/>
  <c r="AG87" i="4"/>
  <c r="AG86" i="4"/>
  <c r="AG85" i="4"/>
  <c r="AG84" i="4"/>
  <c r="AG83" i="4"/>
  <c r="AG82" i="4"/>
  <c r="AG81" i="4"/>
  <c r="AG80" i="4"/>
  <c r="AG79" i="4"/>
  <c r="AG78" i="4"/>
  <c r="AG77" i="4"/>
  <c r="AG76" i="4"/>
  <c r="AH76" i="4" s="1"/>
  <c r="F76" i="4"/>
  <c r="G79" i="4"/>
  <c r="I2" i="5"/>
  <c r="J1" i="5"/>
  <c r="H13" i="5"/>
  <c r="H4" i="5"/>
  <c r="H9" i="5"/>
  <c r="H8" i="5"/>
  <c r="C92" i="6"/>
  <c r="D91" i="6"/>
  <c r="D92" i="6" l="1"/>
  <c r="E91" i="6"/>
  <c r="E8" i="5"/>
  <c r="H7" i="5"/>
  <c r="E9" i="5"/>
  <c r="G51" i="5"/>
  <c r="H25" i="5"/>
  <c r="J2" i="5"/>
  <c r="K1" i="5"/>
  <c r="I4" i="5"/>
  <c r="I22" i="5"/>
  <c r="I24" i="5"/>
  <c r="G80" i="4"/>
  <c r="AC85" i="4"/>
  <c r="AC83" i="4"/>
  <c r="AA85" i="4"/>
  <c r="AA83" i="4"/>
  <c r="Y85" i="4"/>
  <c r="Y83" i="4"/>
  <c r="U85" i="4"/>
  <c r="U86" i="4" s="1"/>
  <c r="U87" i="4" s="1"/>
  <c r="U88" i="4" s="1"/>
  <c r="U89" i="4" s="1"/>
  <c r="U90" i="4" s="1"/>
  <c r="U91" i="4" s="1"/>
  <c r="U83" i="4"/>
  <c r="U82" i="4" s="1"/>
  <c r="U81" i="4" s="1"/>
  <c r="U80" i="4" s="1"/>
  <c r="U79" i="4" s="1"/>
  <c r="U78" i="4" s="1"/>
  <c r="U77" i="4" s="1"/>
  <c r="S85" i="4"/>
  <c r="S86" i="4" s="1"/>
  <c r="S87" i="4" s="1"/>
  <c r="S88" i="4" s="1"/>
  <c r="S89" i="4" s="1"/>
  <c r="S90" i="4" s="1"/>
  <c r="S91" i="4" s="1"/>
  <c r="S83" i="4"/>
  <c r="S82" i="4" s="1"/>
  <c r="S81" i="4" s="1"/>
  <c r="S80" i="4" s="1"/>
  <c r="S79" i="4" s="1"/>
  <c r="S78" i="4" s="1"/>
  <c r="S77" i="4" s="1"/>
  <c r="Q85" i="4"/>
  <c r="Q86" i="4" s="1"/>
  <c r="Q87" i="4" s="1"/>
  <c r="Q88" i="4" s="1"/>
  <c r="Q89" i="4" s="1"/>
  <c r="Q90" i="4" s="1"/>
  <c r="Q91" i="4" s="1"/>
  <c r="Q83" i="4"/>
  <c r="Q82" i="4" s="1"/>
  <c r="Q81" i="4" s="1"/>
  <c r="Q80" i="4" s="1"/>
  <c r="Q79" i="4" s="1"/>
  <c r="Q78" i="4" s="1"/>
  <c r="Q77" i="4" s="1"/>
  <c r="O85" i="4"/>
  <c r="O86" i="4" s="1"/>
  <c r="O87" i="4" s="1"/>
  <c r="O88" i="4" s="1"/>
  <c r="O89" i="4" s="1"/>
  <c r="O90" i="4" s="1"/>
  <c r="O91" i="4" s="1"/>
  <c r="O83" i="4"/>
  <c r="O82" i="4" s="1"/>
  <c r="O81" i="4" s="1"/>
  <c r="O80" i="4" s="1"/>
  <c r="O79" i="4" s="1"/>
  <c r="O78" i="4" s="1"/>
  <c r="O77" i="4" s="1"/>
  <c r="M85" i="4"/>
  <c r="M86" i="4" s="1"/>
  <c r="M87" i="4" s="1"/>
  <c r="M88" i="4" s="1"/>
  <c r="M89" i="4" s="1"/>
  <c r="M90" i="4" s="1"/>
  <c r="M91" i="4" s="1"/>
  <c r="M83" i="4"/>
  <c r="M82" i="4" s="1"/>
  <c r="M81" i="4" s="1"/>
  <c r="M80" i="4" s="1"/>
  <c r="M79" i="4" s="1"/>
  <c r="M78" i="4" s="1"/>
  <c r="M77" i="4" s="1"/>
  <c r="K85" i="4"/>
  <c r="K86" i="4" s="1"/>
  <c r="K87" i="4" s="1"/>
  <c r="K88" i="4" s="1"/>
  <c r="K89" i="4" s="1"/>
  <c r="K90" i="4" s="1"/>
  <c r="K91" i="4" s="1"/>
  <c r="K83" i="4"/>
  <c r="K82" i="4" s="1"/>
  <c r="K81" i="4" s="1"/>
  <c r="K80" i="4" s="1"/>
  <c r="K79" i="4" s="1"/>
  <c r="K78" i="4" s="1"/>
  <c r="K77" i="4" s="1"/>
  <c r="I85" i="4"/>
  <c r="I86" i="4" s="1"/>
  <c r="I87" i="4" s="1"/>
  <c r="I88" i="4" s="1"/>
  <c r="I89" i="4" s="1"/>
  <c r="I90" i="4" s="1"/>
  <c r="I91" i="4" s="1"/>
  <c r="I83" i="4"/>
  <c r="I82" i="4" s="1"/>
  <c r="I81" i="4" s="1"/>
  <c r="I80" i="4" s="1"/>
  <c r="I79" i="4" s="1"/>
  <c r="I78" i="4" s="1"/>
  <c r="I77" i="4" s="1"/>
  <c r="D22" i="6"/>
  <c r="J19" i="5"/>
  <c r="I19" i="5"/>
  <c r="H19" i="5"/>
  <c r="D20" i="6"/>
  <c r="D19" i="6"/>
  <c r="D18" i="6"/>
  <c r="D17" i="6"/>
  <c r="J18" i="5"/>
  <c r="I18" i="5"/>
  <c r="H18" i="5"/>
  <c r="D16" i="6"/>
  <c r="V58" i="6"/>
  <c r="A59" i="6"/>
  <c r="B30" i="6"/>
  <c r="B29" i="6"/>
  <c r="B28" i="6"/>
  <c r="B27" i="6"/>
  <c r="B26" i="6"/>
  <c r="B25" i="6"/>
  <c r="B34" i="4"/>
  <c r="B33" i="4"/>
  <c r="B26" i="4"/>
  <c r="B34" i="6" s="1"/>
  <c r="B25" i="4"/>
  <c r="B33" i="6" s="1"/>
  <c r="B24" i="4"/>
  <c r="B32" i="6" s="1"/>
  <c r="B23" i="4"/>
  <c r="B22" i="4"/>
  <c r="B19" i="4"/>
  <c r="B17" i="4"/>
  <c r="C36" i="4"/>
  <c r="D32" i="4"/>
  <c r="B32" i="4"/>
  <c r="B36" i="4" s="1"/>
  <c r="J16" i="5" l="1"/>
  <c r="I16" i="5"/>
  <c r="H16" i="5"/>
  <c r="D36" i="4"/>
  <c r="D33" i="4"/>
  <c r="D34" i="4"/>
  <c r="D35" i="4"/>
  <c r="B21" i="6"/>
  <c r="C17" i="4"/>
  <c r="B20" i="4"/>
  <c r="G11" i="4" s="1"/>
  <c r="B23" i="6"/>
  <c r="C52" i="4"/>
  <c r="B31" i="6"/>
  <c r="E27" i="4"/>
  <c r="Q89" i="6"/>
  <c r="Q59" i="6"/>
  <c r="D32" i="6"/>
  <c r="R89" i="6"/>
  <c r="R59" i="6"/>
  <c r="D33" i="6"/>
  <c r="S89" i="6"/>
  <c r="S59" i="6"/>
  <c r="D34" i="6"/>
  <c r="J89" i="6"/>
  <c r="J59" i="6"/>
  <c r="D25" i="6"/>
  <c r="K89" i="6"/>
  <c r="V89" i="6" s="1"/>
  <c r="K59" i="6"/>
  <c r="V59" i="6" s="1"/>
  <c r="D26" i="6"/>
  <c r="L89" i="6"/>
  <c r="L59" i="6"/>
  <c r="D27" i="6"/>
  <c r="M89" i="6"/>
  <c r="M59" i="6"/>
  <c r="D28" i="6"/>
  <c r="N89" i="6"/>
  <c r="N59" i="6"/>
  <c r="D29" i="6"/>
  <c r="O89" i="6"/>
  <c r="O59" i="6"/>
  <c r="D30" i="6"/>
  <c r="A93" i="6"/>
  <c r="A57" i="6"/>
  <c r="A60" i="6" s="1"/>
  <c r="H89" i="6"/>
  <c r="H59" i="6"/>
  <c r="F89" i="6"/>
  <c r="F59" i="6"/>
  <c r="E89" i="6"/>
  <c r="E59" i="6"/>
  <c r="D89" i="6"/>
  <c r="D59" i="6"/>
  <c r="C89" i="6"/>
  <c r="C59" i="6"/>
  <c r="B89" i="6"/>
  <c r="B59" i="6"/>
  <c r="Y82" i="4"/>
  <c r="Y86" i="4"/>
  <c r="AA82" i="4"/>
  <c r="AA86" i="4"/>
  <c r="AC82" i="4"/>
  <c r="AC86" i="4"/>
  <c r="G81" i="4"/>
  <c r="K2" i="5"/>
  <c r="L1" i="5"/>
  <c r="J4" i="5"/>
  <c r="J22" i="5"/>
  <c r="J24" i="5"/>
  <c r="H42" i="5"/>
  <c r="E7" i="5"/>
  <c r="E92" i="6"/>
  <c r="F91" i="6"/>
  <c r="F92" i="6" l="1"/>
  <c r="G91" i="6"/>
  <c r="G92" i="6" s="1"/>
  <c r="H59" i="5"/>
  <c r="L2" i="5"/>
  <c r="M1" i="5"/>
  <c r="K4" i="5"/>
  <c r="K22" i="5"/>
  <c r="K24" i="5"/>
  <c r="K19" i="5"/>
  <c r="K18" i="5"/>
  <c r="K16" i="5"/>
  <c r="G82" i="4"/>
  <c r="AC87" i="4"/>
  <c r="AC81" i="4"/>
  <c r="AA87" i="4"/>
  <c r="AA81" i="4"/>
  <c r="Y87" i="4"/>
  <c r="Y81" i="4"/>
  <c r="A94" i="6"/>
  <c r="A61" i="6"/>
  <c r="H60" i="6"/>
  <c r="F60" i="6"/>
  <c r="E60" i="6"/>
  <c r="D60" i="6"/>
  <c r="C60" i="6"/>
  <c r="B60" i="6"/>
  <c r="Q60" i="6"/>
  <c r="R60" i="6"/>
  <c r="S60" i="6"/>
  <c r="J60" i="6"/>
  <c r="K60" i="6"/>
  <c r="V60" i="6" s="1"/>
  <c r="L60" i="6"/>
  <c r="M60" i="6"/>
  <c r="N60" i="6"/>
  <c r="O60" i="6"/>
  <c r="P89" i="6"/>
  <c r="P61" i="6"/>
  <c r="P60" i="6"/>
  <c r="P59" i="6"/>
  <c r="D31" i="6"/>
  <c r="W84" i="4"/>
  <c r="D52" i="4"/>
  <c r="B52" i="4"/>
  <c r="I89" i="6"/>
  <c r="I61" i="6"/>
  <c r="I60" i="6"/>
  <c r="I59" i="6"/>
  <c r="D23" i="6"/>
  <c r="L20" i="5"/>
  <c r="K20" i="5"/>
  <c r="J20" i="5"/>
  <c r="J17" i="5" s="1"/>
  <c r="I20" i="5"/>
  <c r="I17" i="5" s="1"/>
  <c r="H20" i="5"/>
  <c r="C20" i="4"/>
  <c r="G89" i="6"/>
  <c r="G61" i="6"/>
  <c r="G60" i="6"/>
  <c r="G59" i="6"/>
  <c r="D21" i="6"/>
  <c r="H60" i="5"/>
  <c r="I60" i="5"/>
  <c r="I23" i="5"/>
  <c r="J60" i="5"/>
  <c r="J23" i="5"/>
  <c r="H17" i="5" l="1"/>
  <c r="I47" i="5"/>
  <c r="J47" i="5"/>
  <c r="W85" i="4"/>
  <c r="W86" i="4" s="1"/>
  <c r="W87" i="4" s="1"/>
  <c r="W88" i="4" s="1"/>
  <c r="W89" i="4" s="1"/>
  <c r="W90" i="4" s="1"/>
  <c r="W91" i="4" s="1"/>
  <c r="W83" i="4"/>
  <c r="W82" i="4" s="1"/>
  <c r="W81" i="4" s="1"/>
  <c r="W80" i="4" s="1"/>
  <c r="W79" i="4" s="1"/>
  <c r="W78" i="4" s="1"/>
  <c r="W77" i="4" s="1"/>
  <c r="A95" i="6"/>
  <c r="A62" i="6"/>
  <c r="H61" i="6"/>
  <c r="F61" i="6"/>
  <c r="E61" i="6"/>
  <c r="D61" i="6"/>
  <c r="C61" i="6"/>
  <c r="B61" i="6"/>
  <c r="Q61" i="6"/>
  <c r="R61" i="6"/>
  <c r="S61" i="6"/>
  <c r="J61" i="6"/>
  <c r="K61" i="6"/>
  <c r="V61" i="6" s="1"/>
  <c r="L61" i="6"/>
  <c r="M61" i="6"/>
  <c r="N61" i="6"/>
  <c r="O61" i="6"/>
  <c r="Y80" i="4"/>
  <c r="Y88" i="4"/>
  <c r="AA80" i="4"/>
  <c r="AA88" i="4"/>
  <c r="AC80" i="4"/>
  <c r="AC88" i="4"/>
  <c r="G83" i="4"/>
  <c r="K60" i="5"/>
  <c r="K17" i="5"/>
  <c r="M2" i="5"/>
  <c r="N1" i="5"/>
  <c r="L4" i="5"/>
  <c r="L22" i="5"/>
  <c r="L24" i="5"/>
  <c r="L19" i="5"/>
  <c r="L18" i="5"/>
  <c r="L16" i="5"/>
  <c r="L60" i="5" l="1"/>
  <c r="L17" i="5"/>
  <c r="N2" i="5"/>
  <c r="O1" i="5"/>
  <c r="M4" i="5"/>
  <c r="M22" i="5"/>
  <c r="M24" i="5"/>
  <c r="M19" i="5"/>
  <c r="M18" i="5"/>
  <c r="M16" i="5"/>
  <c r="M20" i="5"/>
  <c r="K47" i="5"/>
  <c r="K23" i="5"/>
  <c r="G84" i="4"/>
  <c r="AC89" i="4"/>
  <c r="AC79" i="4"/>
  <c r="AA89" i="4"/>
  <c r="AA79" i="4"/>
  <c r="Y89" i="4"/>
  <c r="Y79" i="4"/>
  <c r="A96" i="6"/>
  <c r="A63" i="6"/>
  <c r="H62" i="6"/>
  <c r="F62" i="6"/>
  <c r="E62" i="6"/>
  <c r="D62" i="6"/>
  <c r="C62" i="6"/>
  <c r="B62" i="6"/>
  <c r="Q62" i="6"/>
  <c r="R62" i="6"/>
  <c r="S62" i="6"/>
  <c r="J62" i="6"/>
  <c r="K62" i="6"/>
  <c r="V62" i="6" s="1"/>
  <c r="L62" i="6"/>
  <c r="M62" i="6"/>
  <c r="N62" i="6"/>
  <c r="O62" i="6"/>
  <c r="P62" i="6"/>
  <c r="I62" i="6"/>
  <c r="G62" i="6"/>
  <c r="H61" i="5"/>
  <c r="H62" i="5" s="1"/>
  <c r="H47" i="5"/>
  <c r="H23" i="5"/>
  <c r="H30" i="5" l="1"/>
  <c r="H26" i="5"/>
  <c r="H65" i="5"/>
  <c r="A97" i="6"/>
  <c r="A64" i="6"/>
  <c r="H63" i="6"/>
  <c r="F63" i="6"/>
  <c r="E63" i="6"/>
  <c r="D63" i="6"/>
  <c r="C63" i="6"/>
  <c r="B63" i="6"/>
  <c r="Q63" i="6"/>
  <c r="R63" i="6"/>
  <c r="S63" i="6"/>
  <c r="J63" i="6"/>
  <c r="K63" i="6"/>
  <c r="V63" i="6" s="1"/>
  <c r="L63" i="6"/>
  <c r="M63" i="6"/>
  <c r="N63" i="6"/>
  <c r="O63" i="6"/>
  <c r="P63" i="6"/>
  <c r="I63" i="6"/>
  <c r="G63" i="6"/>
  <c r="Y78" i="4"/>
  <c r="Y90" i="4"/>
  <c r="AA78" i="4"/>
  <c r="AA90" i="4"/>
  <c r="AC78" i="4"/>
  <c r="AC90" i="4"/>
  <c r="G85" i="4"/>
  <c r="M60" i="5"/>
  <c r="M17" i="5"/>
  <c r="O2" i="5"/>
  <c r="P1" i="5"/>
  <c r="N4" i="5"/>
  <c r="N22" i="5"/>
  <c r="N24" i="5"/>
  <c r="N19" i="5"/>
  <c r="N18" i="5"/>
  <c r="N16" i="5"/>
  <c r="N20" i="5"/>
  <c r="L47" i="5"/>
  <c r="L23" i="5"/>
  <c r="N60" i="5" l="1"/>
  <c r="N17" i="5"/>
  <c r="P2" i="5"/>
  <c r="Q1" i="5"/>
  <c r="O4" i="5"/>
  <c r="O22" i="5"/>
  <c r="O24" i="5"/>
  <c r="O19" i="5"/>
  <c r="O18" i="5"/>
  <c r="O16" i="5"/>
  <c r="O20" i="5"/>
  <c r="M47" i="5"/>
  <c r="M23" i="5"/>
  <c r="G86" i="4"/>
  <c r="AC91" i="4"/>
  <c r="AC77" i="4"/>
  <c r="AA91" i="4"/>
  <c r="AA77" i="4"/>
  <c r="Y91" i="4"/>
  <c r="Y77" i="4"/>
  <c r="A98" i="6"/>
  <c r="A65" i="6"/>
  <c r="H64" i="6"/>
  <c r="F64" i="6"/>
  <c r="E64" i="6"/>
  <c r="D64" i="6"/>
  <c r="C64" i="6"/>
  <c r="B64" i="6"/>
  <c r="Q64" i="6"/>
  <c r="R64" i="6"/>
  <c r="S64" i="6"/>
  <c r="J64" i="6"/>
  <c r="K64" i="6"/>
  <c r="V64" i="6" s="1"/>
  <c r="L64" i="6"/>
  <c r="M64" i="6"/>
  <c r="N64" i="6"/>
  <c r="O64" i="6"/>
  <c r="P64" i="6"/>
  <c r="I64" i="6"/>
  <c r="G64" i="6"/>
  <c r="H28" i="5"/>
  <c r="G53" i="5"/>
  <c r="H29" i="5" l="1"/>
  <c r="A99" i="6"/>
  <c r="A66" i="6"/>
  <c r="H65" i="6"/>
  <c r="F65" i="6"/>
  <c r="E65" i="6"/>
  <c r="D65" i="6"/>
  <c r="C65" i="6"/>
  <c r="B65" i="6"/>
  <c r="Q65" i="6"/>
  <c r="R65" i="6"/>
  <c r="S65" i="6"/>
  <c r="J65" i="6"/>
  <c r="K65" i="6"/>
  <c r="V65" i="6" s="1"/>
  <c r="L65" i="6"/>
  <c r="M65" i="6"/>
  <c r="N65" i="6"/>
  <c r="O65" i="6"/>
  <c r="P65" i="6"/>
  <c r="I65" i="6"/>
  <c r="G65" i="6"/>
  <c r="G87" i="4"/>
  <c r="O60" i="5"/>
  <c r="O17" i="5"/>
  <c r="Q2" i="5"/>
  <c r="R1" i="5"/>
  <c r="P4" i="5"/>
  <c r="P22" i="5"/>
  <c r="P24" i="5"/>
  <c r="P19" i="5"/>
  <c r="P18" i="5"/>
  <c r="P16" i="5"/>
  <c r="P20" i="5"/>
  <c r="N47" i="5"/>
  <c r="N23" i="5"/>
  <c r="P60" i="5" l="1"/>
  <c r="P17" i="5"/>
  <c r="R2" i="5"/>
  <c r="S1" i="5"/>
  <c r="Q4" i="5"/>
  <c r="Q22" i="5"/>
  <c r="Q24" i="5"/>
  <c r="Q19" i="5"/>
  <c r="Q18" i="5"/>
  <c r="Q16" i="5"/>
  <c r="Q20" i="5"/>
  <c r="O47" i="5"/>
  <c r="O23" i="5"/>
  <c r="G88" i="4"/>
  <c r="A100" i="6"/>
  <c r="A67" i="6"/>
  <c r="H66" i="6"/>
  <c r="F66" i="6"/>
  <c r="E66" i="6"/>
  <c r="D66" i="6"/>
  <c r="C66" i="6"/>
  <c r="B66" i="6"/>
  <c r="Q66" i="6"/>
  <c r="R66" i="6"/>
  <c r="S66" i="6"/>
  <c r="J66" i="6"/>
  <c r="K66" i="6"/>
  <c r="V66" i="6" s="1"/>
  <c r="L66" i="6"/>
  <c r="M66" i="6"/>
  <c r="N66" i="6"/>
  <c r="O66" i="6"/>
  <c r="P66" i="6"/>
  <c r="I66" i="6"/>
  <c r="G66" i="6"/>
  <c r="A101" i="6" l="1"/>
  <c r="A68" i="6"/>
  <c r="H67" i="6"/>
  <c r="F67" i="6"/>
  <c r="E67" i="6"/>
  <c r="D67" i="6"/>
  <c r="C67" i="6"/>
  <c r="B67" i="6"/>
  <c r="Q67" i="6"/>
  <c r="R67" i="6"/>
  <c r="S67" i="6"/>
  <c r="J67" i="6"/>
  <c r="K67" i="6"/>
  <c r="V67" i="6" s="1"/>
  <c r="L67" i="6"/>
  <c r="M67" i="6"/>
  <c r="N67" i="6"/>
  <c r="O67" i="6"/>
  <c r="P67" i="6"/>
  <c r="I67" i="6"/>
  <c r="G67" i="6"/>
  <c r="G89" i="4"/>
  <c r="Q60" i="5"/>
  <c r="Q17" i="5"/>
  <c r="S2" i="5"/>
  <c r="T1" i="5"/>
  <c r="R4" i="5"/>
  <c r="R22" i="5"/>
  <c r="R24" i="5"/>
  <c r="R19" i="5"/>
  <c r="R18" i="5"/>
  <c r="R16" i="5"/>
  <c r="R20" i="5"/>
  <c r="P47" i="5"/>
  <c r="P23" i="5"/>
  <c r="R60" i="5" l="1"/>
  <c r="R17" i="5"/>
  <c r="T2" i="5"/>
  <c r="U1" i="5"/>
  <c r="S4" i="5"/>
  <c r="S22" i="5"/>
  <c r="S24" i="5"/>
  <c r="S19" i="5"/>
  <c r="S18" i="5"/>
  <c r="S16" i="5"/>
  <c r="S20" i="5"/>
  <c r="Q47" i="5"/>
  <c r="Q23" i="5"/>
  <c r="G90" i="4"/>
  <c r="A102" i="6"/>
  <c r="A69" i="6"/>
  <c r="H68" i="6"/>
  <c r="F68" i="6"/>
  <c r="E68" i="6"/>
  <c r="D68" i="6"/>
  <c r="C68" i="6"/>
  <c r="B68" i="6"/>
  <c r="Q68" i="6"/>
  <c r="R68" i="6"/>
  <c r="S68" i="6"/>
  <c r="J68" i="6"/>
  <c r="K68" i="6"/>
  <c r="V68" i="6" s="1"/>
  <c r="L68" i="6"/>
  <c r="M68" i="6"/>
  <c r="N68" i="6"/>
  <c r="O68" i="6"/>
  <c r="P68" i="6"/>
  <c r="I68" i="6"/>
  <c r="G68" i="6"/>
  <c r="A103" i="6" l="1"/>
  <c r="A70" i="6"/>
  <c r="H69" i="6"/>
  <c r="F69" i="6"/>
  <c r="E69" i="6"/>
  <c r="D69" i="6"/>
  <c r="C69" i="6"/>
  <c r="B69" i="6"/>
  <c r="Q69" i="6"/>
  <c r="R69" i="6"/>
  <c r="S69" i="6"/>
  <c r="J69" i="6"/>
  <c r="K69" i="6"/>
  <c r="V69" i="6" s="1"/>
  <c r="L69" i="6"/>
  <c r="M69" i="6"/>
  <c r="N69" i="6"/>
  <c r="O69" i="6"/>
  <c r="P69" i="6"/>
  <c r="I69" i="6"/>
  <c r="G69" i="6"/>
  <c r="G91" i="4"/>
  <c r="S60" i="5"/>
  <c r="S17" i="5"/>
  <c r="U2" i="5"/>
  <c r="V1" i="5"/>
  <c r="T4" i="5"/>
  <c r="T22" i="5"/>
  <c r="T24" i="5"/>
  <c r="T19" i="5"/>
  <c r="T18" i="5"/>
  <c r="T16" i="5"/>
  <c r="T20" i="5"/>
  <c r="R47" i="5"/>
  <c r="R23" i="5"/>
  <c r="T60" i="5" l="1"/>
  <c r="T17" i="5"/>
  <c r="V2" i="5"/>
  <c r="W1" i="5"/>
  <c r="U4" i="5"/>
  <c r="U22" i="5"/>
  <c r="U24" i="5"/>
  <c r="U19" i="5"/>
  <c r="U18" i="5"/>
  <c r="U16" i="5"/>
  <c r="U20" i="5"/>
  <c r="S47" i="5"/>
  <c r="S23" i="5"/>
  <c r="A104" i="6"/>
  <c r="A71" i="6"/>
  <c r="H70" i="6"/>
  <c r="F70" i="6"/>
  <c r="E70" i="6"/>
  <c r="D70" i="6"/>
  <c r="C70" i="6"/>
  <c r="B70" i="6"/>
  <c r="Q70" i="6"/>
  <c r="R70" i="6"/>
  <c r="S70" i="6"/>
  <c r="J70" i="6"/>
  <c r="K70" i="6"/>
  <c r="V70" i="6" s="1"/>
  <c r="L70" i="6"/>
  <c r="M70" i="6"/>
  <c r="N70" i="6"/>
  <c r="O70" i="6"/>
  <c r="P70" i="6"/>
  <c r="I70" i="6"/>
  <c r="G70" i="6"/>
  <c r="A105" i="6" l="1"/>
  <c r="A72" i="6"/>
  <c r="H71" i="6"/>
  <c r="F71" i="6"/>
  <c r="E71" i="6"/>
  <c r="D71" i="6"/>
  <c r="C71" i="6"/>
  <c r="B71" i="6"/>
  <c r="Q71" i="6"/>
  <c r="R71" i="6"/>
  <c r="S71" i="6"/>
  <c r="J71" i="6"/>
  <c r="K71" i="6"/>
  <c r="V71" i="6" s="1"/>
  <c r="L71" i="6"/>
  <c r="M71" i="6"/>
  <c r="N71" i="6"/>
  <c r="O71" i="6"/>
  <c r="P71" i="6"/>
  <c r="I71" i="6"/>
  <c r="G71" i="6"/>
  <c r="U60" i="5"/>
  <c r="U17" i="5"/>
  <c r="W2" i="5"/>
  <c r="X1" i="5"/>
  <c r="V4" i="5"/>
  <c r="V22" i="5"/>
  <c r="V24" i="5"/>
  <c r="V19" i="5"/>
  <c r="V18" i="5"/>
  <c r="V16" i="5"/>
  <c r="V20" i="5"/>
  <c r="T47" i="5"/>
  <c r="T23" i="5"/>
  <c r="V60" i="5" l="1"/>
  <c r="V17" i="5"/>
  <c r="X2" i="5"/>
  <c r="Y1" i="5"/>
  <c r="W14" i="5"/>
  <c r="W4" i="5"/>
  <c r="W22" i="5"/>
  <c r="W24" i="5"/>
  <c r="W19" i="5"/>
  <c r="W18" i="5"/>
  <c r="W16" i="5"/>
  <c r="W20" i="5"/>
  <c r="U47" i="5"/>
  <c r="U23" i="5"/>
  <c r="A106" i="6"/>
  <c r="A73" i="6"/>
  <c r="H72" i="6"/>
  <c r="F72" i="6"/>
  <c r="E72" i="6"/>
  <c r="D72" i="6"/>
  <c r="C72" i="6"/>
  <c r="B72" i="6"/>
  <c r="Q72" i="6"/>
  <c r="R72" i="6"/>
  <c r="S72" i="6"/>
  <c r="J72" i="6"/>
  <c r="K72" i="6"/>
  <c r="V72" i="6" s="1"/>
  <c r="L72" i="6"/>
  <c r="M72" i="6"/>
  <c r="N72" i="6"/>
  <c r="O72" i="6"/>
  <c r="P72" i="6"/>
  <c r="I72" i="6"/>
  <c r="G72" i="6"/>
  <c r="A107" i="6" l="1"/>
  <c r="A74" i="6"/>
  <c r="H73" i="6"/>
  <c r="F73" i="6"/>
  <c r="E73" i="6"/>
  <c r="D73" i="6"/>
  <c r="C73" i="6"/>
  <c r="B73" i="6"/>
  <c r="Q73" i="6"/>
  <c r="R73" i="6"/>
  <c r="S73" i="6"/>
  <c r="J73" i="6"/>
  <c r="K73" i="6"/>
  <c r="V73" i="6" s="1"/>
  <c r="L73" i="6"/>
  <c r="M73" i="6"/>
  <c r="N73" i="6"/>
  <c r="O73" i="6"/>
  <c r="P73" i="6"/>
  <c r="I73" i="6"/>
  <c r="G73" i="6"/>
  <c r="W60" i="5"/>
  <c r="W17" i="5"/>
  <c r="V52" i="5"/>
  <c r="Y2" i="5"/>
  <c r="Z1" i="5"/>
  <c r="X14" i="5"/>
  <c r="X4" i="5"/>
  <c r="X22" i="5"/>
  <c r="X24" i="5"/>
  <c r="X19" i="5"/>
  <c r="X18" i="5"/>
  <c r="X16" i="5"/>
  <c r="X20" i="5"/>
  <c r="V47" i="5"/>
  <c r="V23" i="5"/>
  <c r="X60" i="5" l="1"/>
  <c r="X17" i="5"/>
  <c r="W52" i="5"/>
  <c r="Z2" i="5"/>
  <c r="AA1" i="5"/>
  <c r="Y14" i="5"/>
  <c r="Y4" i="5"/>
  <c r="Y22" i="5"/>
  <c r="Y24" i="5"/>
  <c r="Y19" i="5"/>
  <c r="Y18" i="5"/>
  <c r="Y16" i="5"/>
  <c r="Y20" i="5"/>
  <c r="W47" i="5"/>
  <c r="W23" i="5"/>
  <c r="A108" i="6"/>
  <c r="A75" i="6"/>
  <c r="H74" i="6"/>
  <c r="F74" i="6"/>
  <c r="E74" i="6"/>
  <c r="D74" i="6"/>
  <c r="C74" i="6"/>
  <c r="B74" i="6"/>
  <c r="Q74" i="6"/>
  <c r="R74" i="6"/>
  <c r="S74" i="6"/>
  <c r="J74" i="6"/>
  <c r="K74" i="6"/>
  <c r="V74" i="6" s="1"/>
  <c r="L74" i="6"/>
  <c r="M74" i="6"/>
  <c r="N74" i="6"/>
  <c r="O74" i="6"/>
  <c r="P74" i="6"/>
  <c r="I74" i="6"/>
  <c r="G74" i="6"/>
  <c r="A109" i="6" l="1"/>
  <c r="A76" i="6"/>
  <c r="H75" i="6"/>
  <c r="F75" i="6"/>
  <c r="E75" i="6"/>
  <c r="D75" i="6"/>
  <c r="C75" i="6"/>
  <c r="B75" i="6"/>
  <c r="Q75" i="6"/>
  <c r="R75" i="6"/>
  <c r="S75" i="6"/>
  <c r="J75" i="6"/>
  <c r="K75" i="6"/>
  <c r="V75" i="6" s="1"/>
  <c r="L75" i="6"/>
  <c r="M75" i="6"/>
  <c r="N75" i="6"/>
  <c r="O75" i="6"/>
  <c r="P75" i="6"/>
  <c r="I75" i="6"/>
  <c r="G75" i="6"/>
  <c r="Y60" i="5"/>
  <c r="Y17" i="5"/>
  <c r="X52" i="5"/>
  <c r="AA2" i="5"/>
  <c r="AB1" i="5"/>
  <c r="Z14" i="5"/>
  <c r="Z4" i="5"/>
  <c r="Z22" i="5"/>
  <c r="Z24" i="5"/>
  <c r="Z19" i="5"/>
  <c r="Z18" i="5"/>
  <c r="Z16" i="5"/>
  <c r="Z20" i="5"/>
  <c r="X47" i="5"/>
  <c r="X23" i="5"/>
  <c r="Z60" i="5" l="1"/>
  <c r="Z17" i="5"/>
  <c r="Y52" i="5"/>
  <c r="AB2" i="5"/>
  <c r="AC1" i="5"/>
  <c r="AA14" i="5"/>
  <c r="AA4" i="5"/>
  <c r="AA22" i="5"/>
  <c r="AA24" i="5"/>
  <c r="AA19" i="5"/>
  <c r="AA18" i="5"/>
  <c r="AA16" i="5"/>
  <c r="AA20" i="5"/>
  <c r="Y47" i="5"/>
  <c r="Y23" i="5"/>
  <c r="A110" i="6"/>
  <c r="A77" i="6"/>
  <c r="H76" i="6"/>
  <c r="F76" i="6"/>
  <c r="E76" i="6"/>
  <c r="D76" i="6"/>
  <c r="C76" i="6"/>
  <c r="B76" i="6"/>
  <c r="Q76" i="6"/>
  <c r="R76" i="6"/>
  <c r="S76" i="6"/>
  <c r="J76" i="6"/>
  <c r="K76" i="6"/>
  <c r="V76" i="6" s="1"/>
  <c r="L76" i="6"/>
  <c r="M76" i="6"/>
  <c r="N76" i="6"/>
  <c r="O76" i="6"/>
  <c r="P76" i="6"/>
  <c r="I76" i="6"/>
  <c r="G76" i="6"/>
  <c r="A111" i="6" l="1"/>
  <c r="A78" i="6"/>
  <c r="H77" i="6"/>
  <c r="F77" i="6"/>
  <c r="E77" i="6"/>
  <c r="D77" i="6"/>
  <c r="C77" i="6"/>
  <c r="B77" i="6"/>
  <c r="Q77" i="6"/>
  <c r="R77" i="6"/>
  <c r="S77" i="6"/>
  <c r="J77" i="6"/>
  <c r="K77" i="6"/>
  <c r="V77" i="6" s="1"/>
  <c r="L77" i="6"/>
  <c r="M77" i="6"/>
  <c r="N77" i="6"/>
  <c r="O77" i="6"/>
  <c r="P77" i="6"/>
  <c r="I77" i="6"/>
  <c r="G77" i="6"/>
  <c r="AA60" i="5"/>
  <c r="AA17" i="5"/>
  <c r="Z52" i="5"/>
  <c r="AC2" i="5"/>
  <c r="AD1" i="5"/>
  <c r="AB14" i="5"/>
  <c r="AB4" i="5"/>
  <c r="AB22" i="5"/>
  <c r="AB24" i="5"/>
  <c r="AB19" i="5"/>
  <c r="AB18" i="5"/>
  <c r="AB16" i="5"/>
  <c r="AB20" i="5"/>
  <c r="Z47" i="5"/>
  <c r="Z23" i="5"/>
  <c r="AB60" i="5" l="1"/>
  <c r="AB17" i="5"/>
  <c r="AA52" i="5"/>
  <c r="AD2" i="5"/>
  <c r="AE1" i="5"/>
  <c r="AC14" i="5"/>
  <c r="AC4" i="5"/>
  <c r="AC22" i="5"/>
  <c r="AC24" i="5"/>
  <c r="AC19" i="5"/>
  <c r="AC18" i="5"/>
  <c r="AC16" i="5"/>
  <c r="AC20" i="5"/>
  <c r="AA47" i="5"/>
  <c r="AA23" i="5"/>
  <c r="A112" i="6"/>
  <c r="A79" i="6"/>
  <c r="H78" i="6"/>
  <c r="F78" i="6"/>
  <c r="E78" i="6"/>
  <c r="D78" i="6"/>
  <c r="C78" i="6"/>
  <c r="B78" i="6"/>
  <c r="Q78" i="6"/>
  <c r="R78" i="6"/>
  <c r="S78" i="6"/>
  <c r="J78" i="6"/>
  <c r="K78" i="6"/>
  <c r="V78" i="6" s="1"/>
  <c r="L78" i="6"/>
  <c r="M78" i="6"/>
  <c r="N78" i="6"/>
  <c r="O78" i="6"/>
  <c r="P78" i="6"/>
  <c r="I78" i="6"/>
  <c r="G78" i="6"/>
  <c r="A113" i="6" l="1"/>
  <c r="A80" i="6"/>
  <c r="H79" i="6"/>
  <c r="F79" i="6"/>
  <c r="E79" i="6"/>
  <c r="D79" i="6"/>
  <c r="C79" i="6"/>
  <c r="B79" i="6"/>
  <c r="Q79" i="6"/>
  <c r="R79" i="6"/>
  <c r="S79" i="6"/>
  <c r="J79" i="6"/>
  <c r="K79" i="6"/>
  <c r="V79" i="6" s="1"/>
  <c r="L79" i="6"/>
  <c r="M79" i="6"/>
  <c r="N79" i="6"/>
  <c r="O79" i="6"/>
  <c r="P79" i="6"/>
  <c r="I79" i="6"/>
  <c r="G79" i="6"/>
  <c r="AC60" i="5"/>
  <c r="AC17" i="5"/>
  <c r="AB52" i="5"/>
  <c r="AE2" i="5"/>
  <c r="AF1" i="5"/>
  <c r="AD14" i="5"/>
  <c r="AD4" i="5"/>
  <c r="AD22" i="5"/>
  <c r="AD24" i="5"/>
  <c r="AD19" i="5"/>
  <c r="AD18" i="5"/>
  <c r="AD16" i="5"/>
  <c r="AD20" i="5"/>
  <c r="AB47" i="5"/>
  <c r="AB23" i="5"/>
  <c r="AD60" i="5" l="1"/>
  <c r="AD17" i="5"/>
  <c r="AC52" i="5"/>
  <c r="AF2" i="5"/>
  <c r="AG1" i="5"/>
  <c r="AE14" i="5"/>
  <c r="AE4" i="5"/>
  <c r="AE22" i="5"/>
  <c r="AE24" i="5"/>
  <c r="AE19" i="5"/>
  <c r="AE18" i="5"/>
  <c r="AE16" i="5"/>
  <c r="AE20" i="5"/>
  <c r="AC47" i="5"/>
  <c r="AC23" i="5"/>
  <c r="A114" i="6"/>
  <c r="A81" i="6"/>
  <c r="H80" i="6"/>
  <c r="F80" i="6"/>
  <c r="E80" i="6"/>
  <c r="D80" i="6"/>
  <c r="C80" i="6"/>
  <c r="B80" i="6"/>
  <c r="Q80" i="6"/>
  <c r="R80" i="6"/>
  <c r="S80" i="6"/>
  <c r="J80" i="6"/>
  <c r="K80" i="6"/>
  <c r="V80" i="6" s="1"/>
  <c r="L80" i="6"/>
  <c r="M80" i="6"/>
  <c r="N80" i="6"/>
  <c r="O80" i="6"/>
  <c r="P80" i="6"/>
  <c r="I80" i="6"/>
  <c r="G80" i="6"/>
  <c r="A115" i="6" l="1"/>
  <c r="A82" i="6"/>
  <c r="H81" i="6"/>
  <c r="F81" i="6"/>
  <c r="E81" i="6"/>
  <c r="D81" i="6"/>
  <c r="C81" i="6"/>
  <c r="B81" i="6"/>
  <c r="Q81" i="6"/>
  <c r="R81" i="6"/>
  <c r="S81" i="6"/>
  <c r="J81" i="6"/>
  <c r="K81" i="6"/>
  <c r="V81" i="6" s="1"/>
  <c r="L81" i="6"/>
  <c r="M81" i="6"/>
  <c r="N81" i="6"/>
  <c r="O81" i="6"/>
  <c r="P81" i="6"/>
  <c r="I81" i="6"/>
  <c r="G81" i="6"/>
  <c r="AE60" i="5"/>
  <c r="AE17" i="5"/>
  <c r="AD52" i="5"/>
  <c r="AG2" i="5"/>
  <c r="AH1" i="5"/>
  <c r="AF14" i="5"/>
  <c r="AF4" i="5"/>
  <c r="AF22" i="5"/>
  <c r="AF24" i="5"/>
  <c r="AF19" i="5"/>
  <c r="AF18" i="5"/>
  <c r="AF16" i="5"/>
  <c r="AF20" i="5"/>
  <c r="AD47" i="5"/>
  <c r="AD23" i="5"/>
  <c r="AF60" i="5" l="1"/>
  <c r="AF17" i="5"/>
  <c r="AE52" i="5"/>
  <c r="AH2" i="5"/>
  <c r="AI1" i="5"/>
  <c r="AG14" i="5"/>
  <c r="AG4" i="5"/>
  <c r="AG22" i="5"/>
  <c r="AG24" i="5"/>
  <c r="AG19" i="5"/>
  <c r="AG18" i="5"/>
  <c r="AG16" i="5"/>
  <c r="AG20" i="5"/>
  <c r="AE47" i="5"/>
  <c r="AE23" i="5"/>
  <c r="A116" i="6"/>
  <c r="A83" i="6"/>
  <c r="H82" i="6"/>
  <c r="F82" i="6"/>
  <c r="E82" i="6"/>
  <c r="D82" i="6"/>
  <c r="C82" i="6"/>
  <c r="B82" i="6"/>
  <c r="Q82" i="6"/>
  <c r="R82" i="6"/>
  <c r="S82" i="6"/>
  <c r="J82" i="6"/>
  <c r="K82" i="6"/>
  <c r="V82" i="6" s="1"/>
  <c r="L82" i="6"/>
  <c r="M82" i="6"/>
  <c r="N82" i="6"/>
  <c r="O82" i="6"/>
  <c r="P82" i="6"/>
  <c r="I82" i="6"/>
  <c r="G82" i="6"/>
  <c r="A117" i="6" l="1"/>
  <c r="A84" i="6"/>
  <c r="H83" i="6"/>
  <c r="F83" i="6"/>
  <c r="E83" i="6"/>
  <c r="D83" i="6"/>
  <c r="C83" i="6"/>
  <c r="B83" i="6"/>
  <c r="Q83" i="6"/>
  <c r="R83" i="6"/>
  <c r="S83" i="6"/>
  <c r="J83" i="6"/>
  <c r="K83" i="6"/>
  <c r="V83" i="6" s="1"/>
  <c r="L83" i="6"/>
  <c r="M83" i="6"/>
  <c r="N83" i="6"/>
  <c r="O83" i="6"/>
  <c r="P83" i="6"/>
  <c r="I83" i="6"/>
  <c r="G83" i="6"/>
  <c r="AG60" i="5"/>
  <c r="AG17" i="5"/>
  <c r="AF52" i="5"/>
  <c r="AI2" i="5"/>
  <c r="AJ1" i="5"/>
  <c r="AH14" i="5"/>
  <c r="AH4" i="5"/>
  <c r="AH22" i="5"/>
  <c r="AH24" i="5"/>
  <c r="AH19" i="5"/>
  <c r="AH18" i="5"/>
  <c r="AH16" i="5"/>
  <c r="AH20" i="5"/>
  <c r="AF47" i="5"/>
  <c r="AF23" i="5"/>
  <c r="AH60" i="5" l="1"/>
  <c r="AH17" i="5"/>
  <c r="AG52" i="5"/>
  <c r="AJ2" i="5"/>
  <c r="AK1" i="5"/>
  <c r="AK2" i="5" s="1"/>
  <c r="AI14" i="5"/>
  <c r="AI4" i="5"/>
  <c r="AI3" i="5"/>
  <c r="AI22" i="5"/>
  <c r="AI24" i="5"/>
  <c r="AI19" i="5"/>
  <c r="AI18" i="5"/>
  <c r="AI16" i="5"/>
  <c r="AI20" i="5"/>
  <c r="AG3" i="5"/>
  <c r="AE3" i="5"/>
  <c r="AC3" i="5"/>
  <c r="AA3" i="5"/>
  <c r="Y3" i="5"/>
  <c r="W3" i="5"/>
  <c r="U3" i="5"/>
  <c r="S3" i="5"/>
  <c r="Q3" i="5"/>
  <c r="O3" i="5"/>
  <c r="M3" i="5"/>
  <c r="K3" i="5"/>
  <c r="I3" i="5"/>
  <c r="AG47" i="5"/>
  <c r="AG23" i="5"/>
  <c r="A118" i="6"/>
  <c r="A85" i="6"/>
  <c r="H84" i="6"/>
  <c r="F84" i="6"/>
  <c r="E84" i="6"/>
  <c r="D84" i="6"/>
  <c r="C84" i="6"/>
  <c r="B84" i="6"/>
  <c r="Q84" i="6"/>
  <c r="R84" i="6"/>
  <c r="S84" i="6"/>
  <c r="J84" i="6"/>
  <c r="K84" i="6"/>
  <c r="V84" i="6" s="1"/>
  <c r="L84" i="6"/>
  <c r="M84" i="6"/>
  <c r="N84" i="6"/>
  <c r="O84" i="6"/>
  <c r="P84" i="6"/>
  <c r="I84" i="6"/>
  <c r="G84" i="6"/>
  <c r="A119" i="6" l="1"/>
  <c r="A86" i="6"/>
  <c r="H85" i="6"/>
  <c r="F85" i="6"/>
  <c r="E85" i="6"/>
  <c r="D85" i="6"/>
  <c r="C85" i="6"/>
  <c r="B85" i="6"/>
  <c r="Q85" i="6"/>
  <c r="R85" i="6"/>
  <c r="S85" i="6"/>
  <c r="J85" i="6"/>
  <c r="K85" i="6"/>
  <c r="V85" i="6" s="1"/>
  <c r="L85" i="6"/>
  <c r="M85" i="6"/>
  <c r="N85" i="6"/>
  <c r="O85" i="6"/>
  <c r="P85" i="6"/>
  <c r="I85" i="6"/>
  <c r="G85" i="6"/>
  <c r="AI60" i="5"/>
  <c r="AI17" i="5"/>
  <c r="AH52" i="5"/>
  <c r="AK14" i="5"/>
  <c r="AK4" i="5"/>
  <c r="AK3" i="5"/>
  <c r="AK22" i="5"/>
  <c r="AK24" i="5"/>
  <c r="AK19" i="5"/>
  <c r="AK18" i="5"/>
  <c r="AK16" i="5"/>
  <c r="AK20" i="5"/>
  <c r="AJ14" i="5"/>
  <c r="AJ4" i="5"/>
  <c r="AJ3" i="5"/>
  <c r="AJ22" i="5"/>
  <c r="E22" i="5" s="1"/>
  <c r="AJ24" i="5"/>
  <c r="E24" i="5" s="1"/>
  <c r="AJ19" i="5"/>
  <c r="E19" i="5" s="1"/>
  <c r="AJ18" i="5"/>
  <c r="AJ16" i="5"/>
  <c r="AJ20" i="5"/>
  <c r="E20" i="5" s="1"/>
  <c r="AH3" i="5"/>
  <c r="AF3" i="5"/>
  <c r="AD3" i="5"/>
  <c r="AB3" i="5"/>
  <c r="Z3" i="5"/>
  <c r="X3" i="5"/>
  <c r="V3" i="5"/>
  <c r="T3" i="5"/>
  <c r="R3" i="5"/>
  <c r="P3" i="5"/>
  <c r="N3" i="5"/>
  <c r="L3" i="5"/>
  <c r="J3" i="5"/>
  <c r="H3" i="5"/>
  <c r="H14" i="5" s="1"/>
  <c r="AH47" i="5"/>
  <c r="AH23" i="5"/>
  <c r="G52" i="5" l="1"/>
  <c r="H35" i="5"/>
  <c r="H12" i="5"/>
  <c r="H11" i="5"/>
  <c r="AJ60" i="5"/>
  <c r="AJ29" i="5"/>
  <c r="E16" i="5"/>
  <c r="AJ17" i="5"/>
  <c r="E18" i="5"/>
  <c r="AI52" i="5"/>
  <c r="AK60" i="5"/>
  <c r="AK29" i="5"/>
  <c r="AK17" i="5"/>
  <c r="AJ52" i="5"/>
  <c r="AI47" i="5"/>
  <c r="E17" i="5"/>
  <c r="AI23" i="5"/>
  <c r="A120" i="6"/>
  <c r="A87" i="6"/>
  <c r="H86" i="6"/>
  <c r="F86" i="6"/>
  <c r="E86" i="6"/>
  <c r="D86" i="6"/>
  <c r="C86" i="6"/>
  <c r="B86" i="6"/>
  <c r="Q86" i="6"/>
  <c r="R86" i="6"/>
  <c r="S86" i="6"/>
  <c r="J86" i="6"/>
  <c r="K86" i="6"/>
  <c r="V86" i="6" s="1"/>
  <c r="L86" i="6"/>
  <c r="M86" i="6"/>
  <c r="N86" i="6"/>
  <c r="O86" i="6"/>
  <c r="P86" i="6"/>
  <c r="I86" i="6"/>
  <c r="G86" i="6"/>
  <c r="A121" i="6" l="1"/>
  <c r="A88" i="6"/>
  <c r="H87" i="6"/>
  <c r="F87" i="6"/>
  <c r="E87" i="6"/>
  <c r="D87" i="6"/>
  <c r="C87" i="6"/>
  <c r="B87" i="6"/>
  <c r="Q87" i="6"/>
  <c r="R87" i="6"/>
  <c r="S87" i="6"/>
  <c r="J87" i="6"/>
  <c r="K87" i="6"/>
  <c r="V87" i="6" s="1"/>
  <c r="L87" i="6"/>
  <c r="M87" i="6"/>
  <c r="N87" i="6"/>
  <c r="O87" i="6"/>
  <c r="P87" i="6"/>
  <c r="I87" i="6"/>
  <c r="G87" i="6"/>
  <c r="AK47" i="5"/>
  <c r="AK23" i="5"/>
  <c r="AJ47" i="5"/>
  <c r="AJ23" i="5"/>
  <c r="E21" i="5"/>
  <c r="G14" i="4" s="1"/>
  <c r="H44" i="5"/>
  <c r="H32" i="5"/>
  <c r="G54" i="5" s="1"/>
  <c r="I13" i="5"/>
  <c r="I14" i="5"/>
  <c r="H43" i="5"/>
  <c r="H48" i="5" s="1"/>
  <c r="H36" i="5"/>
  <c r="H39" i="5" l="1"/>
  <c r="H77" i="4" s="1" a="1"/>
  <c r="H77" i="4" s="1"/>
  <c r="H37" i="5"/>
  <c r="H52" i="5"/>
  <c r="I12" i="5"/>
  <c r="H51" i="5"/>
  <c r="I25" i="5"/>
  <c r="I11" i="5"/>
  <c r="E23" i="5"/>
  <c r="A122" i="6"/>
  <c r="H88" i="6"/>
  <c r="F88" i="6"/>
  <c r="E88" i="6"/>
  <c r="D88" i="6"/>
  <c r="C88" i="6"/>
  <c r="B88" i="6"/>
  <c r="Q88" i="6"/>
  <c r="R88" i="6"/>
  <c r="S88" i="6"/>
  <c r="J88" i="6"/>
  <c r="K88" i="6"/>
  <c r="V88" i="6" s="1"/>
  <c r="L88" i="6"/>
  <c r="M88" i="6"/>
  <c r="N88" i="6"/>
  <c r="O88" i="6"/>
  <c r="P88" i="6"/>
  <c r="I88" i="6"/>
  <c r="G88" i="6"/>
  <c r="I44" i="5" l="1"/>
  <c r="I26" i="5"/>
  <c r="J13" i="5"/>
  <c r="J14" i="5"/>
  <c r="I52" i="5" l="1"/>
  <c r="J12" i="5"/>
  <c r="I51" i="5"/>
  <c r="J25" i="5"/>
  <c r="J11" i="5"/>
  <c r="I27" i="5"/>
  <c r="I46" i="5" l="1"/>
  <c r="I30" i="5"/>
  <c r="I61" i="5"/>
  <c r="I62" i="5" s="1"/>
  <c r="I28" i="5"/>
  <c r="J44" i="5"/>
  <c r="J26" i="5"/>
  <c r="K13" i="5"/>
  <c r="K14" i="5"/>
  <c r="J52" i="5" l="1"/>
  <c r="K12" i="5"/>
  <c r="J51" i="5"/>
  <c r="K25" i="5"/>
  <c r="K11" i="5"/>
  <c r="J27" i="5"/>
  <c r="I29" i="5"/>
  <c r="I65" i="5"/>
  <c r="H53" i="5"/>
  <c r="I35" i="5"/>
  <c r="I32" i="5"/>
  <c r="H54" i="5" s="1"/>
  <c r="I43" i="5" l="1"/>
  <c r="I48" i="5" s="1"/>
  <c r="I36" i="5"/>
  <c r="J46" i="5"/>
  <c r="J30" i="5"/>
  <c r="J61" i="5"/>
  <c r="J62" i="5" s="1"/>
  <c r="J28" i="5"/>
  <c r="K44" i="5"/>
  <c r="K26" i="5"/>
  <c r="L13" i="5"/>
  <c r="L14" i="5"/>
  <c r="K52" i="5" l="1"/>
  <c r="L12" i="5"/>
  <c r="K51" i="5"/>
  <c r="L25" i="5"/>
  <c r="L11" i="5"/>
  <c r="K27" i="5"/>
  <c r="J29" i="5"/>
  <c r="J65" i="5"/>
  <c r="I53" i="5"/>
  <c r="J35" i="5"/>
  <c r="J32" i="5"/>
  <c r="I54" i="5" s="1"/>
  <c r="I39" i="5"/>
  <c r="I37" i="5"/>
  <c r="J43" i="5" l="1"/>
  <c r="J48" i="5" s="1"/>
  <c r="J36" i="5"/>
  <c r="K46" i="5"/>
  <c r="K30" i="5"/>
  <c r="K61" i="5"/>
  <c r="K62" i="5" s="1"/>
  <c r="K28" i="5"/>
  <c r="L44" i="5"/>
  <c r="L26" i="5"/>
  <c r="M13" i="5"/>
  <c r="M14" i="5"/>
  <c r="L52" i="5" l="1"/>
  <c r="M12" i="5"/>
  <c r="L51" i="5"/>
  <c r="M25" i="5"/>
  <c r="M11" i="5"/>
  <c r="L27" i="5"/>
  <c r="K29" i="5"/>
  <c r="K65" i="5"/>
  <c r="J53" i="5"/>
  <c r="H40" i="5"/>
  <c r="K35" i="5"/>
  <c r="K32" i="5"/>
  <c r="J54" i="5" s="1"/>
  <c r="J39" i="5"/>
  <c r="H78" i="4" s="1" a="1"/>
  <c r="H78" i="4" s="1"/>
  <c r="J37" i="5"/>
  <c r="K43" i="5" l="1"/>
  <c r="K48" i="5" s="1"/>
  <c r="K36" i="5"/>
  <c r="L46" i="5"/>
  <c r="L30" i="5"/>
  <c r="L61" i="5"/>
  <c r="L62" i="5" s="1"/>
  <c r="L28" i="5"/>
  <c r="M44" i="5"/>
  <c r="M26" i="5"/>
  <c r="N13" i="5"/>
  <c r="N14" i="5"/>
  <c r="M52" i="5" l="1"/>
  <c r="N12" i="5"/>
  <c r="M51" i="5"/>
  <c r="N25" i="5"/>
  <c r="N11" i="5"/>
  <c r="M27" i="5"/>
  <c r="L29" i="5"/>
  <c r="L65" i="5"/>
  <c r="K53" i="5"/>
  <c r="L35" i="5"/>
  <c r="L32" i="5"/>
  <c r="K54" i="5" s="1"/>
  <c r="K39" i="5"/>
  <c r="K37" i="5"/>
  <c r="L43" i="5" l="1"/>
  <c r="L48" i="5" s="1"/>
  <c r="L36" i="5"/>
  <c r="M46" i="5"/>
  <c r="M30" i="5"/>
  <c r="M61" i="5"/>
  <c r="M62" i="5" s="1"/>
  <c r="M28" i="5"/>
  <c r="N44" i="5"/>
  <c r="N26" i="5"/>
  <c r="O13" i="5"/>
  <c r="O14" i="5"/>
  <c r="N52" i="5" l="1"/>
  <c r="O12" i="5"/>
  <c r="N51" i="5"/>
  <c r="O25" i="5"/>
  <c r="O11" i="5"/>
  <c r="N27" i="5"/>
  <c r="M29" i="5"/>
  <c r="M65" i="5"/>
  <c r="L53" i="5"/>
  <c r="M35" i="5"/>
  <c r="M32" i="5"/>
  <c r="L54" i="5" s="1"/>
  <c r="L39" i="5"/>
  <c r="H79" i="4" s="1" a="1"/>
  <c r="H79" i="4" s="1"/>
  <c r="L37" i="5"/>
  <c r="M43" i="5" l="1"/>
  <c r="M48" i="5" s="1"/>
  <c r="M36" i="5"/>
  <c r="N46" i="5"/>
  <c r="N30" i="5"/>
  <c r="N61" i="5"/>
  <c r="N62" i="5" s="1"/>
  <c r="N28" i="5"/>
  <c r="O44" i="5"/>
  <c r="O26" i="5"/>
  <c r="P13" i="5"/>
  <c r="P14" i="5"/>
  <c r="O52" i="5" l="1"/>
  <c r="P12" i="5"/>
  <c r="O51" i="5"/>
  <c r="P25" i="5"/>
  <c r="P11" i="5"/>
  <c r="O27" i="5"/>
  <c r="N29" i="5"/>
  <c r="N65" i="5"/>
  <c r="M53" i="5"/>
  <c r="N35" i="5"/>
  <c r="N32" i="5"/>
  <c r="M54" i="5" s="1"/>
  <c r="M39" i="5"/>
  <c r="M37" i="5"/>
  <c r="N43" i="5" l="1"/>
  <c r="N48" i="5" s="1"/>
  <c r="N36" i="5"/>
  <c r="O46" i="5"/>
  <c r="O30" i="5"/>
  <c r="O61" i="5"/>
  <c r="O62" i="5" s="1"/>
  <c r="O28" i="5"/>
  <c r="P44" i="5"/>
  <c r="P26" i="5"/>
  <c r="Q13" i="5"/>
  <c r="Q14" i="5"/>
  <c r="P52" i="5" l="1"/>
  <c r="Q12" i="5"/>
  <c r="P51" i="5"/>
  <c r="Q25" i="5"/>
  <c r="Q11" i="5"/>
  <c r="P27" i="5"/>
  <c r="O29" i="5"/>
  <c r="O65" i="5"/>
  <c r="N53" i="5"/>
  <c r="O35" i="5"/>
  <c r="O32" i="5"/>
  <c r="N54" i="5" s="1"/>
  <c r="N39" i="5"/>
  <c r="H80" i="4" s="1" a="1"/>
  <c r="H80" i="4" s="1"/>
  <c r="N37" i="5"/>
  <c r="O43" i="5" l="1"/>
  <c r="O48" i="5" s="1"/>
  <c r="O36" i="5"/>
  <c r="P46" i="5"/>
  <c r="P30" i="5"/>
  <c r="P61" i="5"/>
  <c r="P62" i="5" s="1"/>
  <c r="P28" i="5"/>
  <c r="Q44" i="5"/>
  <c r="Q26" i="5"/>
  <c r="R13" i="5"/>
  <c r="R14" i="5"/>
  <c r="Q52" i="5" l="1"/>
  <c r="R12" i="5"/>
  <c r="Q51" i="5"/>
  <c r="R25" i="5"/>
  <c r="R11" i="5"/>
  <c r="Q27" i="5"/>
  <c r="P29" i="5"/>
  <c r="P65" i="5"/>
  <c r="O53" i="5"/>
  <c r="P35" i="5"/>
  <c r="P32" i="5"/>
  <c r="O54" i="5" s="1"/>
  <c r="O39" i="5"/>
  <c r="O37" i="5"/>
  <c r="P43" i="5" l="1"/>
  <c r="P48" i="5" s="1"/>
  <c r="P36" i="5"/>
  <c r="Q46" i="5"/>
  <c r="Q30" i="5"/>
  <c r="Q61" i="5"/>
  <c r="Q62" i="5" s="1"/>
  <c r="Q28" i="5"/>
  <c r="R44" i="5"/>
  <c r="R26" i="5"/>
  <c r="S13" i="5"/>
  <c r="S14" i="5"/>
  <c r="R52" i="5" l="1"/>
  <c r="S12" i="5"/>
  <c r="R51" i="5"/>
  <c r="S25" i="5"/>
  <c r="S11" i="5"/>
  <c r="R27" i="5"/>
  <c r="Q29" i="5"/>
  <c r="Q65" i="5"/>
  <c r="P53" i="5"/>
  <c r="Q35" i="5"/>
  <c r="Q32" i="5"/>
  <c r="P54" i="5" s="1"/>
  <c r="P39" i="5"/>
  <c r="H81" i="4" s="1" a="1"/>
  <c r="H81" i="4" s="1"/>
  <c r="P37" i="5"/>
  <c r="Q43" i="5" l="1"/>
  <c r="Q48" i="5" s="1"/>
  <c r="Q36" i="5"/>
  <c r="R46" i="5"/>
  <c r="R30" i="5"/>
  <c r="R61" i="5"/>
  <c r="R62" i="5" s="1"/>
  <c r="R28" i="5"/>
  <c r="S44" i="5"/>
  <c r="S26" i="5"/>
  <c r="T13" i="5"/>
  <c r="T14" i="5"/>
  <c r="S52" i="5" l="1"/>
  <c r="T12" i="5"/>
  <c r="S51" i="5"/>
  <c r="T25" i="5"/>
  <c r="T11" i="5"/>
  <c r="S27" i="5"/>
  <c r="R29" i="5"/>
  <c r="R65" i="5"/>
  <c r="Q53" i="5"/>
  <c r="R35" i="5"/>
  <c r="R32" i="5"/>
  <c r="Q54" i="5" s="1"/>
  <c r="Q39" i="5"/>
  <c r="Q37" i="5"/>
  <c r="R43" i="5" l="1"/>
  <c r="R48" i="5" s="1"/>
  <c r="R36" i="5"/>
  <c r="S46" i="5"/>
  <c r="S30" i="5"/>
  <c r="S61" i="5"/>
  <c r="S62" i="5" s="1"/>
  <c r="S28" i="5"/>
  <c r="T44" i="5"/>
  <c r="T26" i="5"/>
  <c r="U13" i="5"/>
  <c r="U14" i="5"/>
  <c r="T52" i="5" l="1"/>
  <c r="U12" i="5"/>
  <c r="T51" i="5"/>
  <c r="U25" i="5"/>
  <c r="U11" i="5"/>
  <c r="T27" i="5"/>
  <c r="S29" i="5"/>
  <c r="S65" i="5"/>
  <c r="R53" i="5"/>
  <c r="S35" i="5"/>
  <c r="S32" i="5"/>
  <c r="R54" i="5" s="1"/>
  <c r="R39" i="5"/>
  <c r="H82" i="4" s="1" a="1"/>
  <c r="H82" i="4" s="1"/>
  <c r="R37" i="5"/>
  <c r="S43" i="5" l="1"/>
  <c r="S48" i="5" s="1"/>
  <c r="S36" i="5"/>
  <c r="T46" i="5"/>
  <c r="T30" i="5"/>
  <c r="T61" i="5"/>
  <c r="T62" i="5" s="1"/>
  <c r="T28" i="5"/>
  <c r="U44" i="5"/>
  <c r="U26" i="5"/>
  <c r="V13" i="5"/>
  <c r="V14" i="5"/>
  <c r="U52" i="5" l="1"/>
  <c r="V12" i="5"/>
  <c r="E14" i="5"/>
  <c r="U51" i="5"/>
  <c r="V25" i="5"/>
  <c r="V11" i="5"/>
  <c r="U27" i="5"/>
  <c r="T29" i="5"/>
  <c r="T65" i="5"/>
  <c r="S53" i="5"/>
  <c r="T35" i="5"/>
  <c r="T32" i="5"/>
  <c r="S54" i="5" s="1"/>
  <c r="S39" i="5"/>
  <c r="D78" i="4" s="1" a="1"/>
  <c r="D78" i="4" s="1"/>
  <c r="S37" i="5"/>
  <c r="T43" i="5" l="1"/>
  <c r="T48" i="5" s="1"/>
  <c r="T36" i="5"/>
  <c r="U46" i="5"/>
  <c r="U30" i="5"/>
  <c r="U61" i="5"/>
  <c r="U62" i="5" s="1"/>
  <c r="U28" i="5"/>
  <c r="V44" i="5"/>
  <c r="V26" i="5"/>
  <c r="V33" i="5"/>
  <c r="W13" i="5"/>
  <c r="W12" i="5"/>
  <c r="W33" i="5" l="1"/>
  <c r="X13" i="5"/>
  <c r="X12" i="5"/>
  <c r="V51" i="5"/>
  <c r="W25" i="5"/>
  <c r="W11" i="5"/>
  <c r="V27" i="5"/>
  <c r="U29" i="5"/>
  <c r="U65" i="5"/>
  <c r="T53" i="5"/>
  <c r="U35" i="5"/>
  <c r="U32" i="5"/>
  <c r="T54" i="5" s="1"/>
  <c r="T39" i="5"/>
  <c r="H83" i="4" s="1" a="1"/>
  <c r="H83" i="4" s="1"/>
  <c r="T37" i="5"/>
  <c r="U43" i="5" l="1"/>
  <c r="U48" i="5" s="1"/>
  <c r="U36" i="5"/>
  <c r="V46" i="5"/>
  <c r="V30" i="5"/>
  <c r="V61" i="5"/>
  <c r="V62" i="5" s="1"/>
  <c r="V28" i="5"/>
  <c r="W44" i="5"/>
  <c r="W32" i="5"/>
  <c r="V54" i="5" s="1"/>
  <c r="W26" i="5"/>
  <c r="X33" i="5"/>
  <c r="Y13" i="5"/>
  <c r="Y12" i="5"/>
  <c r="W51" i="5"/>
  <c r="X25" i="5"/>
  <c r="X11" i="5"/>
  <c r="X44" i="5" l="1"/>
  <c r="X32" i="5"/>
  <c r="W54" i="5" s="1"/>
  <c r="X26" i="5"/>
  <c r="Y33" i="5"/>
  <c r="Z13" i="5"/>
  <c r="Z12" i="5"/>
  <c r="X51" i="5"/>
  <c r="Y25" i="5"/>
  <c r="Y11" i="5"/>
  <c r="W27" i="5"/>
  <c r="V29" i="5"/>
  <c r="V65" i="5"/>
  <c r="U53" i="5"/>
  <c r="V35" i="5"/>
  <c r="V32" i="5"/>
  <c r="U54" i="5" s="1"/>
  <c r="U39" i="5"/>
  <c r="U37" i="5"/>
  <c r="V43" i="5" l="1"/>
  <c r="V48" i="5" s="1"/>
  <c r="V36" i="5"/>
  <c r="W46" i="5"/>
  <c r="W30" i="5"/>
  <c r="W61" i="5"/>
  <c r="W62" i="5" s="1"/>
  <c r="W28" i="5"/>
  <c r="Y44" i="5"/>
  <c r="Y32" i="5"/>
  <c r="X54" i="5" s="1"/>
  <c r="Y26" i="5"/>
  <c r="Z33" i="5"/>
  <c r="AA13" i="5"/>
  <c r="AA12" i="5"/>
  <c r="Y51" i="5"/>
  <c r="Z25" i="5"/>
  <c r="Z11" i="5"/>
  <c r="X27" i="5"/>
  <c r="X46" i="5" l="1"/>
  <c r="X30" i="5"/>
  <c r="X61" i="5"/>
  <c r="X62" i="5" s="1"/>
  <c r="X28" i="5"/>
  <c r="X29" i="5" s="1"/>
  <c r="Z44" i="5"/>
  <c r="Z32" i="5"/>
  <c r="Y54" i="5" s="1"/>
  <c r="Z26" i="5"/>
  <c r="AA33" i="5"/>
  <c r="AB13" i="5"/>
  <c r="AB12" i="5"/>
  <c r="Z51" i="5"/>
  <c r="AA25" i="5"/>
  <c r="AA11" i="5"/>
  <c r="Y27" i="5"/>
  <c r="W29" i="5"/>
  <c r="X65" i="5"/>
  <c r="W65" i="5"/>
  <c r="V53" i="5"/>
  <c r="W35" i="5"/>
  <c r="V39" i="5"/>
  <c r="V37" i="5"/>
  <c r="C27" i="4" l="1" a="1"/>
  <c r="C27" i="4" s="1"/>
  <c r="G20" i="4" a="1"/>
  <c r="G20" i="4" s="1"/>
  <c r="X91" i="4" a="1"/>
  <c r="X91" i="4" s="1"/>
  <c r="V91" i="4" a="1"/>
  <c r="V91" i="4" s="1"/>
  <c r="T91" i="4" a="1"/>
  <c r="T91" i="4" s="1"/>
  <c r="R91" i="4" a="1"/>
  <c r="R91" i="4" s="1"/>
  <c r="P91" i="4" a="1"/>
  <c r="P91" i="4" s="1"/>
  <c r="N91" i="4" a="1"/>
  <c r="N91" i="4" s="1"/>
  <c r="L91" i="4" a="1"/>
  <c r="L91" i="4" s="1"/>
  <c r="J91" i="4" a="1"/>
  <c r="J91" i="4" s="1"/>
  <c r="X90" i="4" a="1"/>
  <c r="X90" i="4" s="1"/>
  <c r="V90" i="4" a="1"/>
  <c r="V90" i="4" s="1"/>
  <c r="T90" i="4" a="1"/>
  <c r="T90" i="4" s="1"/>
  <c r="R90" i="4" a="1"/>
  <c r="R90" i="4" s="1"/>
  <c r="P90" i="4" a="1"/>
  <c r="P90" i="4" s="1"/>
  <c r="N90" i="4" a="1"/>
  <c r="N90" i="4" s="1"/>
  <c r="L90" i="4" a="1"/>
  <c r="L90" i="4" s="1"/>
  <c r="J90" i="4" a="1"/>
  <c r="J90" i="4" s="1"/>
  <c r="X89" i="4" a="1"/>
  <c r="X89" i="4" s="1"/>
  <c r="V89" i="4" a="1"/>
  <c r="V89" i="4" s="1"/>
  <c r="T89" i="4" a="1"/>
  <c r="T89" i="4" s="1"/>
  <c r="R89" i="4" a="1"/>
  <c r="R89" i="4" s="1"/>
  <c r="P89" i="4" a="1"/>
  <c r="P89" i="4" s="1"/>
  <c r="N89" i="4" a="1"/>
  <c r="N89" i="4" s="1"/>
  <c r="L89" i="4" a="1"/>
  <c r="L89" i="4" s="1"/>
  <c r="J89" i="4" a="1"/>
  <c r="J89" i="4" s="1"/>
  <c r="X88" i="4" a="1"/>
  <c r="X88" i="4" s="1"/>
  <c r="V88" i="4" a="1"/>
  <c r="V88" i="4" s="1"/>
  <c r="T88" i="4" a="1"/>
  <c r="T88" i="4" s="1"/>
  <c r="R88" i="4" a="1"/>
  <c r="R88" i="4" s="1"/>
  <c r="P88" i="4" a="1"/>
  <c r="P88" i="4" s="1"/>
  <c r="N88" i="4" a="1"/>
  <c r="N88" i="4" s="1"/>
  <c r="L88" i="4" a="1"/>
  <c r="L88" i="4" s="1"/>
  <c r="J88" i="4" a="1"/>
  <c r="J88" i="4" s="1"/>
  <c r="X87" i="4" a="1"/>
  <c r="X87" i="4" s="1"/>
  <c r="V87" i="4" a="1"/>
  <c r="V87" i="4" s="1"/>
  <c r="T87" i="4" a="1"/>
  <c r="T87" i="4" s="1"/>
  <c r="R87" i="4" a="1"/>
  <c r="R87" i="4" s="1"/>
  <c r="P87" i="4" a="1"/>
  <c r="P87" i="4" s="1"/>
  <c r="N87" i="4" a="1"/>
  <c r="N87" i="4" s="1"/>
  <c r="L87" i="4" a="1"/>
  <c r="L87" i="4" s="1"/>
  <c r="J87" i="4" a="1"/>
  <c r="J87" i="4" s="1"/>
  <c r="F87" i="4" a="1"/>
  <c r="F87" i="4" s="1"/>
  <c r="AH87" i="4" s="1"/>
  <c r="X86" i="4" a="1"/>
  <c r="X86" i="4" s="1"/>
  <c r="V86" i="4" a="1"/>
  <c r="V86" i="4" s="1"/>
  <c r="T86" i="4" a="1"/>
  <c r="T86" i="4" s="1"/>
  <c r="R86" i="4" a="1"/>
  <c r="R86" i="4" s="1"/>
  <c r="P86" i="4" a="1"/>
  <c r="P86" i="4" s="1"/>
  <c r="N86" i="4" a="1"/>
  <c r="N86" i="4" s="1"/>
  <c r="L86" i="4" a="1"/>
  <c r="L86" i="4" s="1"/>
  <c r="J86" i="4" a="1"/>
  <c r="J86" i="4" s="1"/>
  <c r="F86" i="4" a="1"/>
  <c r="F86" i="4" s="1"/>
  <c r="AH86" i="4" s="1"/>
  <c r="D86" i="4" a="1"/>
  <c r="D86" i="4" s="1"/>
  <c r="C86" i="4" a="1"/>
  <c r="C86" i="4" s="1"/>
  <c r="X85" i="4" a="1"/>
  <c r="X85" i="4" s="1"/>
  <c r="V85" i="4" a="1"/>
  <c r="V85" i="4" s="1"/>
  <c r="T85" i="4" a="1"/>
  <c r="T85" i="4" s="1"/>
  <c r="R85" i="4" a="1"/>
  <c r="R85" i="4" s="1"/>
  <c r="P85" i="4" a="1"/>
  <c r="P85" i="4" s="1"/>
  <c r="N85" i="4" a="1"/>
  <c r="N85" i="4" s="1"/>
  <c r="L85" i="4" a="1"/>
  <c r="L85" i="4" s="1"/>
  <c r="J85" i="4" a="1"/>
  <c r="J85" i="4" s="1"/>
  <c r="F85" i="4" a="1"/>
  <c r="F85" i="4" s="1"/>
  <c r="AH85" i="4" s="1"/>
  <c r="D85" i="4" a="1"/>
  <c r="D85" i="4" s="1"/>
  <c r="C85" i="4" a="1"/>
  <c r="C85" i="4" s="1"/>
  <c r="X84" i="4" a="1"/>
  <c r="X84" i="4" s="1"/>
  <c r="V84" i="4" a="1"/>
  <c r="V84" i="4" s="1"/>
  <c r="T84" i="4" a="1"/>
  <c r="T84" i="4" s="1"/>
  <c r="R84" i="4" a="1"/>
  <c r="R84" i="4" s="1"/>
  <c r="P84" i="4" a="1"/>
  <c r="P84" i="4" s="1"/>
  <c r="N84" i="4" a="1"/>
  <c r="N84" i="4" s="1"/>
  <c r="L84" i="4" a="1"/>
  <c r="L84" i="4" s="1"/>
  <c r="J84" i="4" a="1"/>
  <c r="J84" i="4" s="1"/>
  <c r="F84" i="4" a="1"/>
  <c r="F84" i="4" s="1"/>
  <c r="AH84" i="4" s="1"/>
  <c r="D84" i="4" a="1"/>
  <c r="D84" i="4" s="1"/>
  <c r="C84" i="4" a="1"/>
  <c r="C84" i="4" s="1"/>
  <c r="X83" i="4" a="1"/>
  <c r="X83" i="4" s="1"/>
  <c r="V83" i="4" a="1"/>
  <c r="V83" i="4" s="1"/>
  <c r="T83" i="4" a="1"/>
  <c r="T83" i="4" s="1"/>
  <c r="R83" i="4" a="1"/>
  <c r="R83" i="4" s="1"/>
  <c r="P83" i="4" a="1"/>
  <c r="P83" i="4" s="1"/>
  <c r="N83" i="4" a="1"/>
  <c r="N83" i="4" s="1"/>
  <c r="L83" i="4" a="1"/>
  <c r="L83" i="4" s="1"/>
  <c r="J83" i="4" a="1"/>
  <c r="J83" i="4" s="1"/>
  <c r="F83" i="4" a="1"/>
  <c r="F83" i="4" s="1"/>
  <c r="AH83" i="4" s="1"/>
  <c r="D83" i="4" a="1"/>
  <c r="D83" i="4" s="1"/>
  <c r="C83" i="4" a="1"/>
  <c r="C83" i="4" s="1"/>
  <c r="X82" i="4" a="1"/>
  <c r="X82" i="4" s="1"/>
  <c r="V82" i="4" a="1"/>
  <c r="V82" i="4" s="1"/>
  <c r="T82" i="4" a="1"/>
  <c r="T82" i="4" s="1"/>
  <c r="R82" i="4" a="1"/>
  <c r="R82" i="4" s="1"/>
  <c r="P82" i="4" a="1"/>
  <c r="P82" i="4" s="1"/>
  <c r="N82" i="4" a="1"/>
  <c r="N82" i="4" s="1"/>
  <c r="L82" i="4" a="1"/>
  <c r="L82" i="4" s="1"/>
  <c r="J82" i="4" a="1"/>
  <c r="J82" i="4" s="1"/>
  <c r="F82" i="4" a="1"/>
  <c r="F82" i="4" s="1"/>
  <c r="AH82" i="4" s="1"/>
  <c r="D82" i="4" a="1"/>
  <c r="D82" i="4" s="1"/>
  <c r="C82" i="4" a="1"/>
  <c r="C82" i="4" s="1"/>
  <c r="X81" i="4" a="1"/>
  <c r="X81" i="4" s="1"/>
  <c r="V81" i="4" a="1"/>
  <c r="V81" i="4" s="1"/>
  <c r="T81" i="4" a="1"/>
  <c r="T81" i="4" s="1"/>
  <c r="R81" i="4" a="1"/>
  <c r="R81" i="4" s="1"/>
  <c r="P81" i="4" a="1"/>
  <c r="P81" i="4" s="1"/>
  <c r="N81" i="4" a="1"/>
  <c r="N81" i="4" s="1"/>
  <c r="L81" i="4" a="1"/>
  <c r="L81" i="4" s="1"/>
  <c r="J81" i="4" a="1"/>
  <c r="J81" i="4" s="1"/>
  <c r="F81" i="4" a="1"/>
  <c r="F81" i="4" s="1"/>
  <c r="AH81" i="4" s="1"/>
  <c r="D81" i="4" a="1"/>
  <c r="D81" i="4" s="1"/>
  <c r="C81" i="4" a="1"/>
  <c r="C81" i="4" s="1"/>
  <c r="X80" i="4" a="1"/>
  <c r="X80" i="4" s="1"/>
  <c r="V80" i="4" a="1"/>
  <c r="V80" i="4" s="1"/>
  <c r="T80" i="4" a="1"/>
  <c r="T80" i="4" s="1"/>
  <c r="R80" i="4" a="1"/>
  <c r="R80" i="4" s="1"/>
  <c r="P80" i="4" a="1"/>
  <c r="P80" i="4" s="1"/>
  <c r="N80" i="4" a="1"/>
  <c r="N80" i="4" s="1"/>
  <c r="L80" i="4" a="1"/>
  <c r="L80" i="4" s="1"/>
  <c r="J80" i="4" a="1"/>
  <c r="J80" i="4" s="1"/>
  <c r="F80" i="4" a="1"/>
  <c r="F80" i="4" s="1"/>
  <c r="AH80" i="4" s="1"/>
  <c r="D80" i="4" a="1"/>
  <c r="D80" i="4" s="1"/>
  <c r="C80" i="4" a="1"/>
  <c r="C80" i="4" s="1"/>
  <c r="X79" i="4" a="1"/>
  <c r="X79" i="4" s="1"/>
  <c r="V79" i="4" a="1"/>
  <c r="V79" i="4" s="1"/>
  <c r="T79" i="4" a="1"/>
  <c r="T79" i="4" s="1"/>
  <c r="R79" i="4" a="1"/>
  <c r="R79" i="4" s="1"/>
  <c r="P79" i="4" a="1"/>
  <c r="P79" i="4" s="1"/>
  <c r="N79" i="4" a="1"/>
  <c r="N79" i="4" s="1"/>
  <c r="L79" i="4" a="1"/>
  <c r="L79" i="4" s="1"/>
  <c r="J79" i="4" a="1"/>
  <c r="J79" i="4" s="1"/>
  <c r="F79" i="4" a="1"/>
  <c r="F79" i="4" s="1"/>
  <c r="AH79" i="4" s="1"/>
  <c r="D79" i="4" a="1"/>
  <c r="D79" i="4" s="1"/>
  <c r="C79" i="4" a="1"/>
  <c r="C79" i="4" s="1"/>
  <c r="X78" i="4" a="1"/>
  <c r="X78" i="4" s="1"/>
  <c r="V78" i="4" a="1"/>
  <c r="V78" i="4" s="1"/>
  <c r="T78" i="4" a="1"/>
  <c r="T78" i="4" s="1"/>
  <c r="R78" i="4" a="1"/>
  <c r="R78" i="4" s="1"/>
  <c r="P78" i="4" a="1"/>
  <c r="P78" i="4" s="1"/>
  <c r="N78" i="4" a="1"/>
  <c r="N78" i="4" s="1"/>
  <c r="L78" i="4" a="1"/>
  <c r="L78" i="4" s="1"/>
  <c r="J78" i="4" a="1"/>
  <c r="J78" i="4" s="1"/>
  <c r="F78" i="4" a="1"/>
  <c r="F78" i="4" s="1"/>
  <c r="AH78" i="4" s="1"/>
  <c r="X77" i="4" a="1"/>
  <c r="X77" i="4" s="1"/>
  <c r="V77" i="4" a="1"/>
  <c r="V77" i="4" s="1"/>
  <c r="T77" i="4" a="1"/>
  <c r="T77" i="4" s="1"/>
  <c r="R77" i="4" a="1"/>
  <c r="R77" i="4" s="1"/>
  <c r="P77" i="4" a="1"/>
  <c r="P77" i="4" s="1"/>
  <c r="N77" i="4" a="1"/>
  <c r="N77" i="4" s="1"/>
  <c r="L77" i="4" a="1"/>
  <c r="L77" i="4" s="1"/>
  <c r="J77" i="4" a="1"/>
  <c r="J77" i="4" s="1"/>
  <c r="F77" i="4" a="1"/>
  <c r="F77" i="4" s="1"/>
  <c r="AH77" i="4" s="1"/>
  <c r="D77" i="4" a="1"/>
  <c r="D77" i="4" s="1"/>
  <c r="C77" i="4" a="1"/>
  <c r="C77" i="4" s="1"/>
  <c r="C75" i="4" a="1"/>
  <c r="C75" i="4" s="1"/>
  <c r="D87" i="4" a="1"/>
  <c r="D87" i="4" s="1"/>
  <c r="D88" i="4" a="1"/>
  <c r="D88" i="4" s="1"/>
  <c r="D89" i="4" a="1"/>
  <c r="D89" i="4" s="1"/>
  <c r="C89" i="4" a="1"/>
  <c r="C89" i="4" s="1"/>
  <c r="AD84" i="4" a="1"/>
  <c r="AD84" i="4" s="1"/>
  <c r="C88" i="4" a="1"/>
  <c r="C88" i="4" s="1"/>
  <c r="AB84" i="4" a="1"/>
  <c r="AB84" i="4" s="1"/>
  <c r="C87" i="4" a="1"/>
  <c r="C87" i="4" s="1"/>
  <c r="Z84" i="4" a="1"/>
  <c r="Z84" i="4" s="1"/>
  <c r="Z83" i="4" a="1"/>
  <c r="Z83" i="4" s="1"/>
  <c r="Z85" i="4" a="1"/>
  <c r="Z85" i="4" s="1"/>
  <c r="AB83" i="4" a="1"/>
  <c r="AB83" i="4" s="1"/>
  <c r="AB85" i="4" a="1"/>
  <c r="AB85" i="4" s="1"/>
  <c r="AD83" i="4" a="1"/>
  <c r="AD83" i="4" s="1"/>
  <c r="AD85" i="4" a="1"/>
  <c r="AD85" i="4" s="1"/>
  <c r="AD86" i="4" a="1"/>
  <c r="AD86" i="4" s="1"/>
  <c r="AD82" i="4" a="1"/>
  <c r="AD82" i="4" s="1"/>
  <c r="AB86" i="4" a="1"/>
  <c r="AB86" i="4" s="1"/>
  <c r="AB82" i="4" a="1"/>
  <c r="AB82" i="4" s="1"/>
  <c r="Z86" i="4" a="1"/>
  <c r="Z86" i="4" s="1"/>
  <c r="Z82" i="4" a="1"/>
  <c r="Z82" i="4" s="1"/>
  <c r="Z81" i="4" a="1"/>
  <c r="Z81" i="4" s="1"/>
  <c r="Z87" i="4" a="1"/>
  <c r="Z87" i="4" s="1"/>
  <c r="AB81" i="4" a="1"/>
  <c r="AB81" i="4" s="1"/>
  <c r="AB87" i="4" a="1"/>
  <c r="AB87" i="4" s="1"/>
  <c r="AD81" i="4" a="1"/>
  <c r="AD81" i="4" s="1"/>
  <c r="AD87" i="4" a="1"/>
  <c r="AD87" i="4" s="1"/>
  <c r="AD88" i="4" a="1"/>
  <c r="AD88" i="4" s="1"/>
  <c r="AD80" i="4" a="1"/>
  <c r="AD80" i="4" s="1"/>
  <c r="AB88" i="4" a="1"/>
  <c r="AB88" i="4" s="1"/>
  <c r="AB80" i="4" a="1"/>
  <c r="AB80" i="4" s="1"/>
  <c r="Z88" i="4" a="1"/>
  <c r="Z88" i="4" s="1"/>
  <c r="Z80" i="4" a="1"/>
  <c r="Z80" i="4" s="1"/>
  <c r="Z79" i="4" a="1"/>
  <c r="Z79" i="4" s="1"/>
  <c r="Z89" i="4" a="1"/>
  <c r="Z89" i="4" s="1"/>
  <c r="AB79" i="4" a="1"/>
  <c r="AB79" i="4" s="1"/>
  <c r="AB89" i="4" a="1"/>
  <c r="AB89" i="4" s="1"/>
  <c r="AD79" i="4" a="1"/>
  <c r="AD79" i="4" s="1"/>
  <c r="AD89" i="4" a="1"/>
  <c r="AD89" i="4" s="1"/>
  <c r="H84" i="4" a="1"/>
  <c r="H84" i="4" s="1"/>
  <c r="AD90" i="4" a="1"/>
  <c r="AD90" i="4" s="1"/>
  <c r="AD78" i="4" a="1"/>
  <c r="AD78" i="4" s="1"/>
  <c r="AB90" i="4" a="1"/>
  <c r="AB90" i="4" s="1"/>
  <c r="AB78" i="4" a="1"/>
  <c r="AB78" i="4" s="1"/>
  <c r="Z90" i="4" a="1"/>
  <c r="Z90" i="4" s="1"/>
  <c r="Z78" i="4" a="1"/>
  <c r="Z78" i="4" s="1"/>
  <c r="Z77" i="4" a="1"/>
  <c r="Z77" i="4" s="1"/>
  <c r="Z91" i="4" a="1"/>
  <c r="Z91" i="4" s="1"/>
  <c r="AB77" i="4" a="1"/>
  <c r="AB77" i="4" s="1"/>
  <c r="AB91" i="4" a="1"/>
  <c r="AB91" i="4" s="1"/>
  <c r="AD77" i="4" a="1"/>
  <c r="AD77" i="4" s="1"/>
  <c r="AD91" i="4" a="1"/>
  <c r="AD91" i="4" s="1"/>
  <c r="W43" i="5"/>
  <c r="W48" i="5" s="1"/>
  <c r="W36" i="5"/>
  <c r="Y46" i="5"/>
  <c r="Y30" i="5"/>
  <c r="Y61" i="5"/>
  <c r="Y62" i="5" s="1"/>
  <c r="Y28" i="5"/>
  <c r="AA44" i="5"/>
  <c r="AA32" i="5"/>
  <c r="Z54" i="5" s="1"/>
  <c r="AA26" i="5"/>
  <c r="AB33" i="5"/>
  <c r="AC13" i="5"/>
  <c r="AC12" i="5"/>
  <c r="AA51" i="5"/>
  <c r="AB25" i="5"/>
  <c r="AB11" i="5"/>
  <c r="Z27" i="5"/>
  <c r="W53" i="5"/>
  <c r="X35" i="5"/>
  <c r="X43" i="5" l="1"/>
  <c r="X48" i="5" s="1"/>
  <c r="X36" i="5"/>
  <c r="Z46" i="5"/>
  <c r="Z30" i="5"/>
  <c r="Z61" i="5"/>
  <c r="Z62" i="5" s="1"/>
  <c r="Z28" i="5"/>
  <c r="Z29" i="5" s="1"/>
  <c r="AB44" i="5"/>
  <c r="AB32" i="5"/>
  <c r="AA54" i="5" s="1"/>
  <c r="AB26" i="5"/>
  <c r="AC33" i="5"/>
  <c r="AD13" i="5"/>
  <c r="AD12" i="5"/>
  <c r="AB51" i="5"/>
  <c r="AC25" i="5"/>
  <c r="AC11" i="5"/>
  <c r="AA27" i="5"/>
  <c r="Y29" i="5"/>
  <c r="Z65" i="5"/>
  <c r="Y65" i="5"/>
  <c r="X53" i="5"/>
  <c r="Y35" i="5"/>
  <c r="X39" i="5"/>
  <c r="H85" i="4" s="1" a="1"/>
  <c r="H85" i="4" s="1"/>
  <c r="W39" i="5"/>
  <c r="W37" i="5"/>
  <c r="B89" i="4"/>
  <c r="B88" i="4"/>
  <c r="B87" i="4"/>
  <c r="B86" i="4"/>
  <c r="B85" i="4"/>
  <c r="B84" i="4"/>
  <c r="B83" i="4"/>
  <c r="B82" i="4"/>
  <c r="B81" i="4"/>
  <c r="B80" i="4"/>
  <c r="B79" i="4"/>
  <c r="B77" i="4"/>
  <c r="B27" i="4"/>
  <c r="C28" i="4"/>
  <c r="C29" i="4" l="1"/>
  <c r="D28" i="4"/>
  <c r="B35" i="6"/>
  <c r="B28" i="4"/>
  <c r="X37" i="5"/>
  <c r="Y43" i="5"/>
  <c r="Y48" i="5" s="1"/>
  <c r="Y36" i="5"/>
  <c r="AA46" i="5"/>
  <c r="AA30" i="5"/>
  <c r="AA61" i="5"/>
  <c r="AA62" i="5" s="1"/>
  <c r="AA28" i="5"/>
  <c r="AC44" i="5"/>
  <c r="AC32" i="5"/>
  <c r="AB54" i="5" s="1"/>
  <c r="AC26" i="5"/>
  <c r="AD33" i="5"/>
  <c r="AE13" i="5"/>
  <c r="AE12" i="5"/>
  <c r="AC51" i="5"/>
  <c r="AD25" i="5"/>
  <c r="AD11" i="5"/>
  <c r="AB27" i="5"/>
  <c r="Y53" i="5"/>
  <c r="Z35" i="5"/>
  <c r="Z43" i="5" l="1"/>
  <c r="Z48" i="5" s="1"/>
  <c r="Z36" i="5"/>
  <c r="AB46" i="5"/>
  <c r="AB30" i="5"/>
  <c r="AB61" i="5"/>
  <c r="AB62" i="5" s="1"/>
  <c r="AB28" i="5"/>
  <c r="AB29" i="5" s="1"/>
  <c r="AD44" i="5"/>
  <c r="AD32" i="5"/>
  <c r="AC54" i="5" s="1"/>
  <c r="AD26" i="5"/>
  <c r="AE33" i="5"/>
  <c r="AF13" i="5"/>
  <c r="AF12" i="5"/>
  <c r="AD51" i="5"/>
  <c r="AE25" i="5"/>
  <c r="AE11" i="5"/>
  <c r="AC27" i="5"/>
  <c r="AA29" i="5"/>
  <c r="AB65" i="5"/>
  <c r="AA65" i="5"/>
  <c r="Z53" i="5"/>
  <c r="AA35" i="5"/>
  <c r="Z39" i="5"/>
  <c r="H86" i="4" s="1" a="1"/>
  <c r="H86" i="4" s="1"/>
  <c r="Y39" i="5"/>
  <c r="C78" i="4" s="1" a="1"/>
  <c r="C78" i="4" s="1"/>
  <c r="B78" i="4" s="1"/>
  <c r="Y37" i="5"/>
  <c r="C56" i="4"/>
  <c r="B29" i="4"/>
  <c r="G10" i="4" s="1"/>
  <c r="G12" i="4"/>
  <c r="T89" i="6"/>
  <c r="U89" i="6" s="1"/>
  <c r="T88" i="6"/>
  <c r="U88" i="6" s="1"/>
  <c r="T87" i="6"/>
  <c r="U87" i="6" s="1"/>
  <c r="T86" i="6"/>
  <c r="U86" i="6" s="1"/>
  <c r="T85" i="6"/>
  <c r="U85" i="6" s="1"/>
  <c r="T84" i="6"/>
  <c r="U84" i="6" s="1"/>
  <c r="T83" i="6"/>
  <c r="U83" i="6" s="1"/>
  <c r="T82" i="6"/>
  <c r="U82" i="6" s="1"/>
  <c r="T81" i="6"/>
  <c r="U81" i="6" s="1"/>
  <c r="T80" i="6"/>
  <c r="U80" i="6" s="1"/>
  <c r="T79" i="6"/>
  <c r="U79" i="6" s="1"/>
  <c r="T78" i="6"/>
  <c r="U78" i="6" s="1"/>
  <c r="T77" i="6"/>
  <c r="U77" i="6" s="1"/>
  <c r="T76" i="6"/>
  <c r="U76" i="6" s="1"/>
  <c r="T75" i="6"/>
  <c r="U75" i="6" s="1"/>
  <c r="T74" i="6"/>
  <c r="U74" i="6" s="1"/>
  <c r="T73" i="6"/>
  <c r="U73" i="6" s="1"/>
  <c r="T72" i="6"/>
  <c r="U72" i="6" s="1"/>
  <c r="T71" i="6"/>
  <c r="U71" i="6" s="1"/>
  <c r="T70" i="6"/>
  <c r="U70" i="6" s="1"/>
  <c r="T69" i="6"/>
  <c r="U69" i="6" s="1"/>
  <c r="T68" i="6"/>
  <c r="U68" i="6" s="1"/>
  <c r="T67" i="6"/>
  <c r="U67" i="6" s="1"/>
  <c r="T66" i="6"/>
  <c r="U66" i="6" s="1"/>
  <c r="T65" i="6"/>
  <c r="U65" i="6" s="1"/>
  <c r="T64" i="6"/>
  <c r="U64" i="6" s="1"/>
  <c r="T63" i="6"/>
  <c r="U63" i="6" s="1"/>
  <c r="T62" i="6"/>
  <c r="U62" i="6" s="1"/>
  <c r="T61" i="6"/>
  <c r="U61" i="6" s="1"/>
  <c r="T60" i="6"/>
  <c r="U60" i="6" s="1"/>
  <c r="T59" i="6"/>
  <c r="U59" i="6" s="1"/>
  <c r="D35" i="6"/>
  <c r="B36" i="6"/>
  <c r="D29" i="4"/>
  <c r="G16" i="4"/>
  <c r="D19" i="4"/>
  <c r="D22" i="4"/>
  <c r="D23" i="4"/>
  <c r="D24" i="4"/>
  <c r="D25" i="4"/>
  <c r="D26" i="4"/>
  <c r="D18" i="4"/>
  <c r="D16" i="4"/>
  <c r="D15" i="4"/>
  <c r="D14" i="4"/>
  <c r="D13" i="4"/>
  <c r="D12" i="4"/>
  <c r="D17" i="4"/>
  <c r="D20" i="4"/>
  <c r="D27" i="4"/>
  <c r="G123" i="6" l="1"/>
  <c r="F123" i="6"/>
  <c r="E123" i="6"/>
  <c r="D123" i="6"/>
  <c r="C123" i="6"/>
  <c r="B123" i="6"/>
  <c r="G122" i="6"/>
  <c r="F122" i="6"/>
  <c r="E122" i="6"/>
  <c r="D122" i="6"/>
  <c r="C122" i="6"/>
  <c r="B122" i="6"/>
  <c r="G121" i="6"/>
  <c r="F121" i="6"/>
  <c r="E121" i="6"/>
  <c r="D121" i="6"/>
  <c r="C121" i="6"/>
  <c r="B121" i="6"/>
  <c r="G120" i="6"/>
  <c r="F120" i="6"/>
  <c r="E120" i="6"/>
  <c r="D120" i="6"/>
  <c r="C120" i="6"/>
  <c r="B120" i="6"/>
  <c r="G119" i="6"/>
  <c r="F119" i="6"/>
  <c r="E119" i="6"/>
  <c r="D119" i="6"/>
  <c r="C119" i="6"/>
  <c r="B119" i="6"/>
  <c r="G118" i="6"/>
  <c r="F118" i="6"/>
  <c r="E118" i="6"/>
  <c r="D118" i="6"/>
  <c r="C118" i="6"/>
  <c r="B118" i="6"/>
  <c r="G117" i="6"/>
  <c r="F117" i="6"/>
  <c r="E117" i="6"/>
  <c r="D117" i="6"/>
  <c r="C117" i="6"/>
  <c r="B117" i="6"/>
  <c r="G116" i="6"/>
  <c r="F116" i="6"/>
  <c r="E116" i="6"/>
  <c r="D116" i="6"/>
  <c r="C116" i="6"/>
  <c r="B116" i="6"/>
  <c r="G115" i="6"/>
  <c r="F115" i="6"/>
  <c r="E115" i="6"/>
  <c r="D115" i="6"/>
  <c r="C115" i="6"/>
  <c r="B115" i="6"/>
  <c r="G114" i="6"/>
  <c r="F114" i="6"/>
  <c r="E114" i="6"/>
  <c r="D114" i="6"/>
  <c r="C114" i="6"/>
  <c r="B114" i="6"/>
  <c r="G113" i="6"/>
  <c r="F113" i="6"/>
  <c r="E113" i="6"/>
  <c r="D113" i="6"/>
  <c r="C113" i="6"/>
  <c r="B113" i="6"/>
  <c r="G112" i="6"/>
  <c r="F112" i="6"/>
  <c r="E112" i="6"/>
  <c r="D112" i="6"/>
  <c r="C112" i="6"/>
  <c r="B112" i="6"/>
  <c r="G111" i="6"/>
  <c r="F111" i="6"/>
  <c r="E111" i="6"/>
  <c r="D111" i="6"/>
  <c r="C111" i="6"/>
  <c r="B111" i="6"/>
  <c r="G110" i="6"/>
  <c r="F110" i="6"/>
  <c r="E110" i="6"/>
  <c r="D110" i="6"/>
  <c r="C110" i="6"/>
  <c r="B110" i="6"/>
  <c r="G109" i="6"/>
  <c r="F109" i="6"/>
  <c r="E109" i="6"/>
  <c r="D109" i="6"/>
  <c r="C109" i="6"/>
  <c r="B109" i="6"/>
  <c r="G108" i="6"/>
  <c r="F108" i="6"/>
  <c r="E108" i="6"/>
  <c r="D108" i="6"/>
  <c r="C108" i="6"/>
  <c r="B108" i="6"/>
  <c r="G107" i="6"/>
  <c r="F107" i="6"/>
  <c r="E107" i="6"/>
  <c r="D107" i="6"/>
  <c r="C107" i="6"/>
  <c r="B107" i="6"/>
  <c r="G106" i="6"/>
  <c r="F106" i="6"/>
  <c r="E106" i="6"/>
  <c r="D106" i="6"/>
  <c r="C106" i="6"/>
  <c r="B106" i="6"/>
  <c r="G105" i="6"/>
  <c r="F105" i="6"/>
  <c r="E105" i="6"/>
  <c r="D105" i="6"/>
  <c r="C105" i="6"/>
  <c r="B105" i="6"/>
  <c r="G104" i="6"/>
  <c r="F104" i="6"/>
  <c r="E104" i="6"/>
  <c r="D104" i="6"/>
  <c r="C104" i="6"/>
  <c r="B104" i="6"/>
  <c r="G103" i="6"/>
  <c r="F103" i="6"/>
  <c r="E103" i="6"/>
  <c r="D103" i="6"/>
  <c r="C103" i="6"/>
  <c r="B103" i="6"/>
  <c r="G102" i="6"/>
  <c r="F102" i="6"/>
  <c r="E102" i="6"/>
  <c r="D102" i="6"/>
  <c r="C102" i="6"/>
  <c r="B102" i="6"/>
  <c r="G101" i="6"/>
  <c r="F101" i="6"/>
  <c r="E101" i="6"/>
  <c r="D101" i="6"/>
  <c r="C101" i="6"/>
  <c r="B101" i="6"/>
  <c r="G100" i="6"/>
  <c r="F100" i="6"/>
  <c r="E100" i="6"/>
  <c r="D100" i="6"/>
  <c r="C100" i="6"/>
  <c r="B100" i="6"/>
  <c r="G99" i="6"/>
  <c r="F99" i="6"/>
  <c r="E99" i="6"/>
  <c r="D99" i="6"/>
  <c r="C99" i="6"/>
  <c r="B99" i="6"/>
  <c r="G98" i="6"/>
  <c r="F98" i="6"/>
  <c r="E98" i="6"/>
  <c r="D98" i="6"/>
  <c r="C98" i="6"/>
  <c r="B98" i="6"/>
  <c r="G97" i="6"/>
  <c r="F97" i="6"/>
  <c r="E97" i="6"/>
  <c r="D97" i="6"/>
  <c r="C97" i="6"/>
  <c r="B97" i="6"/>
  <c r="G96" i="6"/>
  <c r="F96" i="6"/>
  <c r="E96" i="6"/>
  <c r="D96" i="6"/>
  <c r="C96" i="6"/>
  <c r="B96" i="6"/>
  <c r="G95" i="6"/>
  <c r="F95" i="6"/>
  <c r="E95" i="6"/>
  <c r="D95" i="6"/>
  <c r="C95" i="6"/>
  <c r="B95" i="6"/>
  <c r="G94" i="6"/>
  <c r="F94" i="6"/>
  <c r="E94" i="6"/>
  <c r="D94" i="6"/>
  <c r="C94" i="6"/>
  <c r="B94" i="6"/>
  <c r="G93" i="6"/>
  <c r="F93" i="6"/>
  <c r="E93" i="6"/>
  <c r="D93" i="6"/>
  <c r="C93" i="6"/>
  <c r="B93" i="6"/>
  <c r="C7" i="6"/>
  <c r="D36" i="6"/>
  <c r="C8" i="6"/>
  <c r="AE84" i="4"/>
  <c r="D56" i="4"/>
  <c r="D90" i="4" s="1"/>
  <c r="B56" i="4"/>
  <c r="C90" i="4" s="1"/>
  <c r="Z37" i="5"/>
  <c r="AA43" i="5"/>
  <c r="AA48" i="5" s="1"/>
  <c r="AA36" i="5"/>
  <c r="AC46" i="5"/>
  <c r="AC30" i="5"/>
  <c r="AC61" i="5"/>
  <c r="AC62" i="5" s="1"/>
  <c r="AC28" i="5"/>
  <c r="AE44" i="5"/>
  <c r="AE32" i="5"/>
  <c r="AD54" i="5" s="1"/>
  <c r="AE26" i="5"/>
  <c r="AF33" i="5"/>
  <c r="AG13" i="5"/>
  <c r="AG12" i="5"/>
  <c r="AE51" i="5"/>
  <c r="AF25" i="5"/>
  <c r="AF11" i="5"/>
  <c r="AD27" i="5"/>
  <c r="AA53" i="5"/>
  <c r="AB35" i="5"/>
  <c r="AB43" i="5" l="1"/>
  <c r="AB48" i="5" s="1"/>
  <c r="AB36" i="5"/>
  <c r="AD46" i="5"/>
  <c r="AD30" i="5"/>
  <c r="AD61" i="5"/>
  <c r="AD62" i="5" s="1"/>
  <c r="AD28" i="5"/>
  <c r="AD29" i="5" s="1"/>
  <c r="AF44" i="5"/>
  <c r="AF32" i="5"/>
  <c r="AE54" i="5" s="1"/>
  <c r="AF26" i="5"/>
  <c r="AG33" i="5"/>
  <c r="AH13" i="5"/>
  <c r="AH12" i="5"/>
  <c r="AF51" i="5"/>
  <c r="AG25" i="5"/>
  <c r="AG11" i="5"/>
  <c r="AE27" i="5"/>
  <c r="AC29" i="5"/>
  <c r="AD65" i="5"/>
  <c r="AC65" i="5"/>
  <c r="AB53" i="5"/>
  <c r="AC35" i="5"/>
  <c r="AB39" i="5"/>
  <c r="H87" i="4" s="1" a="1"/>
  <c r="H87" i="4" s="1"/>
  <c r="AA39" i="5"/>
  <c r="AA37" i="5"/>
  <c r="AE85" i="4"/>
  <c r="AE83" i="4"/>
  <c r="AF84" i="4"/>
  <c r="AE82" i="4" l="1"/>
  <c r="AF83" i="4"/>
  <c r="AE86" i="4"/>
  <c r="AF85" i="4"/>
  <c r="AB37" i="5"/>
  <c r="AC43" i="5"/>
  <c r="AC48" i="5" s="1"/>
  <c r="AC36" i="5"/>
  <c r="AE46" i="5"/>
  <c r="AE30" i="5"/>
  <c r="AE61" i="5"/>
  <c r="AE62" i="5" s="1"/>
  <c r="AE28" i="5"/>
  <c r="AG44" i="5"/>
  <c r="AG32" i="5"/>
  <c r="AF54" i="5" s="1"/>
  <c r="AG26" i="5"/>
  <c r="AH33" i="5"/>
  <c r="AI13" i="5"/>
  <c r="AI12" i="5"/>
  <c r="AG51" i="5"/>
  <c r="AH25" i="5"/>
  <c r="AH11" i="5"/>
  <c r="AF27" i="5"/>
  <c r="AC53" i="5"/>
  <c r="AD35" i="5"/>
  <c r="AD43" i="5" l="1"/>
  <c r="AD48" i="5" s="1"/>
  <c r="AD36" i="5"/>
  <c r="AF46" i="5"/>
  <c r="AF30" i="5"/>
  <c r="AF61" i="5"/>
  <c r="AF62" i="5" s="1"/>
  <c r="AF28" i="5"/>
  <c r="AF29" i="5" s="1"/>
  <c r="AH44" i="5"/>
  <c r="AH32" i="5"/>
  <c r="AG54" i="5" s="1"/>
  <c r="AH26" i="5"/>
  <c r="AI33" i="5"/>
  <c r="AJ13" i="5"/>
  <c r="AJ12" i="5"/>
  <c r="AH51" i="5"/>
  <c r="AI25" i="5"/>
  <c r="AI11" i="5"/>
  <c r="AG27" i="5"/>
  <c r="AE29" i="5"/>
  <c r="AF65" i="5"/>
  <c r="AE65" i="5"/>
  <c r="AD53" i="5"/>
  <c r="AE35" i="5"/>
  <c r="AD39" i="5"/>
  <c r="H88" i="4" s="1" a="1"/>
  <c r="H88" i="4" s="1"/>
  <c r="AC39" i="5"/>
  <c r="AC37" i="5"/>
  <c r="AE87" i="4"/>
  <c r="AF86" i="4"/>
  <c r="AE81" i="4"/>
  <c r="AF82" i="4"/>
  <c r="AE80" i="4" l="1"/>
  <c r="AF81" i="4"/>
  <c r="AE88" i="4"/>
  <c r="AF87" i="4"/>
  <c r="AD37" i="5"/>
  <c r="AE43" i="5"/>
  <c r="AE48" i="5" s="1"/>
  <c r="AE36" i="5"/>
  <c r="AG46" i="5"/>
  <c r="AG30" i="5"/>
  <c r="AG61" i="5"/>
  <c r="AG62" i="5" s="1"/>
  <c r="AG28" i="5"/>
  <c r="AI44" i="5"/>
  <c r="AI32" i="5"/>
  <c r="AH54" i="5" s="1"/>
  <c r="AI26" i="5"/>
  <c r="AJ33" i="5"/>
  <c r="AK13" i="5"/>
  <c r="AK12" i="5"/>
  <c r="AK33" i="5" s="1"/>
  <c r="AI51" i="5"/>
  <c r="AJ25" i="5"/>
  <c r="AJ11" i="5"/>
  <c r="AH27" i="5"/>
  <c r="AE53" i="5"/>
  <c r="AF35" i="5"/>
  <c r="AF43" i="5" l="1"/>
  <c r="AF48" i="5" s="1"/>
  <c r="AF36" i="5"/>
  <c r="AH46" i="5"/>
  <c r="AH30" i="5"/>
  <c r="AH61" i="5"/>
  <c r="AH62" i="5" s="1"/>
  <c r="AH28" i="5"/>
  <c r="AH29" i="5" s="1"/>
  <c r="AJ44" i="5"/>
  <c r="AJ32" i="5"/>
  <c r="AI54" i="5" s="1"/>
  <c r="AJ26" i="5"/>
  <c r="AJ51" i="5"/>
  <c r="AK25" i="5"/>
  <c r="AK11" i="5"/>
  <c r="E13" i="5"/>
  <c r="AI27" i="5"/>
  <c r="AG29" i="5"/>
  <c r="AH65" i="5"/>
  <c r="AG65" i="5"/>
  <c r="AF53" i="5"/>
  <c r="AG35" i="5"/>
  <c r="AF39" i="5"/>
  <c r="H89" i="4" s="1" a="1"/>
  <c r="H89" i="4" s="1"/>
  <c r="AE39" i="5"/>
  <c r="AE37" i="5"/>
  <c r="AE89" i="4"/>
  <c r="AF88" i="4"/>
  <c r="AE79" i="4"/>
  <c r="AF80" i="4"/>
  <c r="AE78" i="4" l="1"/>
  <c r="AF79" i="4"/>
  <c r="AE90" i="4"/>
  <c r="AF89" i="4"/>
  <c r="AF37" i="5"/>
  <c r="AG43" i="5"/>
  <c r="AG48" i="5" s="1"/>
  <c r="AG36" i="5"/>
  <c r="AI46" i="5"/>
  <c r="AI30" i="5"/>
  <c r="AI61" i="5"/>
  <c r="AI62" i="5" s="1"/>
  <c r="AI28" i="5"/>
  <c r="AK44" i="5"/>
  <c r="AK32" i="5"/>
  <c r="AJ54" i="5" s="1"/>
  <c r="E11" i="5"/>
  <c r="AK26" i="5"/>
  <c r="E25" i="5"/>
  <c r="AJ27" i="5"/>
  <c r="AG53" i="5"/>
  <c r="AH35" i="5"/>
  <c r="AH43" i="5" l="1"/>
  <c r="AH48" i="5" s="1"/>
  <c r="AH36" i="5"/>
  <c r="AJ46" i="5"/>
  <c r="AJ61" i="5"/>
  <c r="AJ62" i="5" s="1"/>
  <c r="AJ30" i="5"/>
  <c r="AK27" i="5"/>
  <c r="E26" i="5"/>
  <c r="AI29" i="5"/>
  <c r="E28" i="5"/>
  <c r="E29" i="5" s="1"/>
  <c r="AJ65" i="5"/>
  <c r="AI65" i="5"/>
  <c r="AH53" i="5"/>
  <c r="AI35" i="5"/>
  <c r="AH39" i="5"/>
  <c r="H90" i="4" s="1" a="1"/>
  <c r="H90" i="4" s="1"/>
  <c r="AG39" i="5"/>
  <c r="AG37" i="5"/>
  <c r="AE91" i="4"/>
  <c r="AF91" i="4" s="1"/>
  <c r="AF90" i="4"/>
  <c r="AE77" i="4"/>
  <c r="AF77" i="4" s="1"/>
  <c r="AF78" i="4"/>
  <c r="AH37" i="5" l="1"/>
  <c r="AI43" i="5"/>
  <c r="AI48" i="5" s="1"/>
  <c r="AI36" i="5"/>
  <c r="AK46" i="5"/>
  <c r="AK61" i="5"/>
  <c r="AK62" i="5" s="1"/>
  <c r="AK65" i="5" s="1"/>
  <c r="E27" i="5"/>
  <c r="AK30" i="5"/>
  <c r="AI53" i="5"/>
  <c r="AJ35" i="5"/>
  <c r="AJ43" i="5" l="1"/>
  <c r="AJ48" i="5" s="1"/>
  <c r="AJ36" i="5"/>
  <c r="AJ53" i="5"/>
  <c r="AK31" i="5"/>
  <c r="AJ31" i="5" s="1"/>
  <c r="AI31" i="5" s="1"/>
  <c r="AH31" i="5" s="1"/>
  <c r="AG31" i="5" s="1"/>
  <c r="AF31" i="5" s="1"/>
  <c r="AE31" i="5" s="1"/>
  <c r="AD31" i="5" s="1"/>
  <c r="AC31" i="5" s="1"/>
  <c r="AB31" i="5" s="1"/>
  <c r="AA31" i="5" s="1"/>
  <c r="Z31" i="5" s="1"/>
  <c r="Y31" i="5" s="1"/>
  <c r="X31" i="5" s="1"/>
  <c r="W31" i="5" s="1"/>
  <c r="V31" i="5" s="1"/>
  <c r="U31" i="5" s="1"/>
  <c r="AK35" i="5"/>
  <c r="E30" i="5"/>
  <c r="AJ39" i="5"/>
  <c r="H91" i="4" s="1" a="1"/>
  <c r="H91" i="4" s="1"/>
  <c r="AI39" i="5"/>
  <c r="AI37" i="5"/>
  <c r="AJ37" i="5" l="1"/>
  <c r="AK43" i="5"/>
  <c r="AK48" i="5" s="1"/>
  <c r="AK36" i="5"/>
  <c r="E35" i="5"/>
  <c r="U33" i="5"/>
  <c r="T31" i="5"/>
  <c r="T33" i="5" l="1"/>
  <c r="S31" i="5"/>
  <c r="AK39" i="5"/>
  <c r="E39" i="5"/>
  <c r="E36" i="5"/>
  <c r="E38" i="5" s="1" a="1"/>
  <c r="E38" i="5" s="1"/>
  <c r="G18" i="4" s="1"/>
  <c r="AK37" i="5"/>
  <c r="G17" i="4" s="1" a="1"/>
  <c r="G17" i="4" s="1"/>
  <c r="S33" i="5" l="1"/>
  <c r="R31" i="5"/>
  <c r="R33" i="5" l="1"/>
  <c r="Q31" i="5"/>
  <c r="Q33" i="5" l="1"/>
  <c r="P31" i="5"/>
  <c r="P33" i="5" l="1"/>
  <c r="O31" i="5"/>
  <c r="O33" i="5" l="1"/>
  <c r="N31" i="5"/>
  <c r="N33" i="5" l="1"/>
  <c r="M31" i="5"/>
  <c r="M33" i="5" l="1"/>
  <c r="L31" i="5"/>
  <c r="L33" i="5" l="1"/>
  <c r="K31" i="5"/>
  <c r="K33" i="5" l="1"/>
  <c r="J31" i="5"/>
  <c r="J33" i="5" l="1"/>
  <c r="I31" i="5"/>
  <c r="H31" i="5" l="1"/>
  <c r="H33" i="5" s="1"/>
  <c r="I3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2" authorId="0" shapeId="0" xr:uid="{00000000-0006-0000-0100-000001000000}">
      <text>
        <r>
          <rPr>
            <sz val="11"/>
            <color theme="1"/>
            <rFont val="Calibri"/>
            <scheme val="minor"/>
          </rPr>
          <t xml:space="preserve">Delete after use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200-000001000000}">
      <text>
        <r>
          <rPr>
            <sz val="11"/>
            <color theme="1"/>
            <rFont val="Calibri"/>
            <scheme val="minor"/>
          </rPr>
          <t>Delete after use</t>
        </r>
      </text>
    </comment>
    <comment ref="A24" authorId="0" shapeId="0" xr:uid="{00000000-0006-0000-0200-000002000000}">
      <text>
        <r>
          <rPr>
            <sz val="11"/>
            <color theme="1"/>
            <rFont val="Calibri"/>
            <scheme val="minor"/>
          </rPr>
          <t xml:space="preserve"> Ton of Material needed for Ton of Final Product
</t>
        </r>
      </text>
    </comment>
    <comment ref="A26" authorId="0" shapeId="0" xr:uid="{00000000-0006-0000-0200-000003000000}">
      <text>
        <r>
          <rPr>
            <sz val="11"/>
            <color theme="1"/>
            <rFont val="Calibri"/>
            <scheme val="minor"/>
          </rPr>
          <t xml:space="preserve">Add more lines below if needed
</t>
        </r>
      </text>
    </comment>
    <comment ref="A41" authorId="0" shapeId="0" xr:uid="{00000000-0006-0000-0200-000004000000}">
      <text>
        <r>
          <rPr>
            <sz val="11"/>
            <color theme="1"/>
            <rFont val="Calibri"/>
            <scheme val="minor"/>
          </rPr>
          <t xml:space="preserve">Add more lines below if needed
</t>
        </r>
      </text>
    </comment>
    <comment ref="A48" authorId="0" shapeId="0" xr:uid="{00000000-0006-0000-0200-000005000000}">
      <text>
        <r>
          <rPr>
            <sz val="11"/>
            <color theme="1"/>
            <rFont val="Calibri"/>
            <scheme val="minor"/>
          </rPr>
          <t xml:space="preserve">total number of employees directly managing plant at any given time
</t>
        </r>
      </text>
    </comment>
    <comment ref="A49" authorId="0" shapeId="0" xr:uid="{00000000-0006-0000-0200-000006000000}">
      <text>
        <r>
          <rPr>
            <sz val="11"/>
            <color theme="1"/>
            <rFont val="Calibri"/>
            <scheme val="minor"/>
          </rPr>
          <t xml:space="preserve">percentage of direct labor going to supervision and overhead employees
</t>
        </r>
      </text>
    </comment>
    <comment ref="A50" authorId="0" shapeId="0" xr:uid="{00000000-0006-0000-0200-000007000000}">
      <text>
        <r>
          <rPr>
            <sz val="11"/>
            <color theme="1"/>
            <rFont val="Calibri"/>
            <scheme val="minor"/>
          </rPr>
          <t xml:space="preserve">percentage of both direct and indirect labor costs that covers benefits and other costs
</t>
        </r>
      </text>
    </comment>
    <comment ref="A83" authorId="0" shapeId="0" xr:uid="{00000000-0006-0000-0200-000008000000}">
      <text>
        <r>
          <rPr>
            <sz val="11"/>
            <color theme="1"/>
            <rFont val="Calibri"/>
            <scheme val="minor"/>
          </rPr>
          <t xml:space="preserve">To what extent will your plant be debt financed. In case of most FOAKs this is likely going to be 0. However, the model is quite sensitive to this input - best keep it at 10%
 </t>
        </r>
      </text>
    </comment>
    <comment ref="A90" authorId="0" shapeId="0" xr:uid="{00000000-0006-0000-0200-000009000000}">
      <text>
        <r>
          <rPr>
            <sz val="11"/>
            <color theme="1"/>
            <rFont val="Calibri"/>
            <scheme val="minor"/>
          </rPr>
          <t xml:space="preserve">Actual prices by first customer pilots. If not known insert price targets
</t>
        </r>
      </text>
    </comment>
    <comment ref="A97" authorId="0" shapeId="0" xr:uid="{00000000-0006-0000-0200-00000A000000}">
      <text>
        <r>
          <rPr>
            <sz val="11"/>
            <color theme="1"/>
            <rFont val="Calibri"/>
            <scheme val="minor"/>
          </rPr>
          <t xml:space="preserve">Actual prices paid in commodity markets ie current market price for final product produced by process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71" authorId="0" shapeId="0" xr:uid="{00000000-0006-0000-0300-000001000000}">
      <text>
        <r>
          <rPr>
            <sz val="11"/>
            <color theme="1"/>
            <rFont val="Calibri"/>
            <scheme val="minor"/>
          </rPr>
          <t xml:space="preserve">Choose Variable of Interest for Graph above
</t>
        </r>
      </text>
    </comment>
    <comment ref="G71" authorId="0" shapeId="0" xr:uid="{00000000-0006-0000-0300-000002000000}">
      <text>
        <r>
          <rPr>
            <sz val="11"/>
            <color theme="1"/>
            <rFont val="Calibri"/>
            <scheme val="minor"/>
          </rPr>
          <t xml:space="preserve">Select increments for graph above to decide the range of values you would like to analyse compared to the base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500-000001000000}">
      <text>
        <r>
          <rPr>
            <sz val="11"/>
            <color theme="1"/>
            <rFont val="Calibri"/>
            <scheme val="minor"/>
          </rPr>
          <t xml:space="preserve">First of a kind
</t>
        </r>
      </text>
    </comment>
    <comment ref="A8" authorId="0" shapeId="0" xr:uid="{00000000-0006-0000-0500-000002000000}">
      <text>
        <r>
          <rPr>
            <sz val="11"/>
            <color theme="1"/>
            <rFont val="Calibri"/>
            <scheme val="minor"/>
          </rPr>
          <t xml:space="preserve">Nth of a kind
</t>
        </r>
      </text>
    </comment>
    <comment ref="C13" authorId="0" shapeId="0" xr:uid="{00000000-0006-0000-0500-000003000000}">
      <text>
        <r>
          <rPr>
            <sz val="11"/>
            <color theme="1"/>
            <rFont val="Calibri"/>
            <scheme val="minor"/>
          </rPr>
          <t>See learning rate values in table below</t>
        </r>
      </text>
    </comment>
    <comment ref="D13" authorId="0" shapeId="0" xr:uid="{00000000-0006-0000-0500-000004000000}">
      <text>
        <r>
          <rPr>
            <sz val="11"/>
            <color theme="1"/>
            <rFont val="Calibri"/>
            <scheme val="minor"/>
          </rPr>
          <t xml:space="preserve">Final costs at the projected capacity
</t>
        </r>
      </text>
    </comment>
    <comment ref="A38" authorId="0" shapeId="0" xr:uid="{00000000-0006-0000-0500-000005000000}">
      <text>
        <r>
          <rPr>
            <sz val="11"/>
            <color theme="1"/>
            <rFont val="Calibri"/>
            <scheme val="minor"/>
          </rPr>
          <t xml:space="preserve">Learning rates differ by type of energy technology
Below are some literature reviewed reference values that can be used
</t>
        </r>
      </text>
    </comment>
    <comment ref="C39" authorId="0" shapeId="0" xr:uid="{00000000-0006-0000-0500-000006000000}">
      <text>
        <r>
          <rPr>
            <sz val="11"/>
            <color theme="1"/>
            <rFont val="Calibri"/>
            <scheme val="minor"/>
          </rPr>
          <t>High costs of early deployments
tend to decline as the technology matures
Learning rates reflect this decline and can be used to project cost reductions</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<sst xmlns="http://schemas.openxmlformats.org/spreadsheetml/2006/main" count="699" uniqueCount="523">
  <si>
    <t>Techno Economic Assessment Template</t>
  </si>
  <si>
    <t>NOTE: Get started by making a copy of this template via the File menu rather than downloading it.</t>
  </si>
  <si>
    <t xml:space="preserve">This template is a simple non-technical starting point for performing Techno Economic Assessments. It's purpose is to do a preliminary assessement of a technology to understand the competitiveness and assess initial feasibility. It should help founders evaluate the potential of their technology and identify cost hot spots. </t>
  </si>
  <si>
    <t>Purpose</t>
  </si>
  <si>
    <t>Our template is most useful for evaluating early-stage technologies (TRL 1-5) and thus targeted at Preseed and Seed stage founders looking to do their first TEA. It's not suitable for detailed design and manufacturing modelling. This template ist best suited for chemical processes and might not cover all use cases (e.g. LCOE calculations) Please alter and expand the template as needed.</t>
  </si>
  <si>
    <t>Audience</t>
  </si>
  <si>
    <t>1. Technology Description: This sheet should be used to provide a high-level overview of your process. Add Mass Balance/Equipment Sizing calculations here or add a new sheet.
2. Cost Inputs: Fill out all relevant data points in the cost sheet. Standard values are provided as a reference
3. Outputs: Assess key metrics here and perform necessary sensitivity analysis.</t>
  </si>
  <si>
    <t>Instructions</t>
  </si>
  <si>
    <t>Some tips</t>
  </si>
  <si>
    <t>1.  Technoeconomic Analyses don't needs to be overly complicated - keep it simple.
2. This is just starting point for TEA modelling. Please customise the sheet wherever needed. 
3. Provide references and explanations whereever needed.</t>
  </si>
  <si>
    <t>Stage</t>
  </si>
  <si>
    <t>Ideation (TRL 1-3)</t>
  </si>
  <si>
    <t>Preseed/Angel (TRL 4-5) - 
This template</t>
  </si>
  <si>
    <t>Seed (TRL 6-7)</t>
  </si>
  <si>
    <t>Series A (TRL 8-9)</t>
  </si>
  <si>
    <t xml:space="preserve">Data Inputs </t>
  </si>
  <si>
    <t xml:space="preserve">Small-scale experimental data / conceptual prototype </t>
  </si>
  <si>
    <t xml:space="preserve">Small-scale process unit data / "Minimum Viable Product" </t>
  </si>
  <si>
    <t xml:space="preserve">Pilot plant data / Scale Product </t>
  </si>
  <si>
    <t>Demonstration scale data / For Sale Production</t>
  </si>
  <si>
    <t xml:space="preserve">Process Model </t>
  </si>
  <si>
    <t>Block Flow Diagram / Bill of Materials</t>
  </si>
  <si>
    <t xml:space="preserve">Process Flow Diagram / BOM + rough scematic </t>
  </si>
  <si>
    <t xml:space="preserve">Process Simulation / Computer Aided Design </t>
  </si>
  <si>
    <t>Simulation verified with operating data / Detailed CAD</t>
  </si>
  <si>
    <t>Complexity</t>
  </si>
  <si>
    <t xml:space="preserve">Price Inputs </t>
  </si>
  <si>
    <t>Published prices, estimates based on similar products / processes</t>
  </si>
  <si>
    <t xml:space="preserve">Vendor discussions to inform major costs, estimates on others </t>
  </si>
  <si>
    <t xml:space="preserve">Vendor quotes for most equipment </t>
  </si>
  <si>
    <t>Negotiated contract data</t>
  </si>
  <si>
    <t xml:space="preserve">Level of Detail </t>
  </si>
  <si>
    <t>Major cost drivers only</t>
  </si>
  <si>
    <t>Estimates of majority of operating costs and capital equipment 9</t>
  </si>
  <si>
    <t xml:space="preserve">90% of equipment and operating costs included as a line item </t>
  </si>
  <si>
    <t>98% included and verified by an independent 3rd party</t>
  </si>
  <si>
    <t>Capital Costing</t>
  </si>
  <si>
    <t xml:space="preserve">Recognizing that it will have a required return </t>
  </si>
  <si>
    <t xml:space="preserve">Simple assumptions - 10% discount rate </t>
  </si>
  <si>
    <t xml:space="preserve">Discount rate based on variability of free cash flow with market </t>
  </si>
  <si>
    <t xml:space="preserve">Full Weighted Average Cost of Capital with all Tax Shields included </t>
  </si>
  <si>
    <t>Approximate effort</t>
  </si>
  <si>
    <t>40 man-hours</t>
  </si>
  <si>
    <t xml:space="preserve">200 man-hours </t>
  </si>
  <si>
    <t>2,000 man-hours</t>
  </si>
  <si>
    <t>5,000+ man-hours</t>
  </si>
  <si>
    <t xml:space="preserve">Review/Input </t>
  </si>
  <si>
    <t xml:space="preserve">Co-Worker Review </t>
  </si>
  <si>
    <t xml:space="preserve">Several co-workers from varying disciplines </t>
  </si>
  <si>
    <t xml:space="preserve">Input from a potential investor under a NDA </t>
  </si>
  <si>
    <t xml:space="preserve">Fully shared with EPC and bank, open to modification/scrutiny </t>
  </si>
  <si>
    <t xml:space="preserve">Cost Model </t>
  </si>
  <si>
    <t xml:space="preserve">Use Focusing Research and Development Effort </t>
  </si>
  <si>
    <t xml:space="preserve">Developing research targets/goals </t>
  </si>
  <si>
    <t>Understanding long-term viability of the technology, pitching VC's</t>
  </si>
  <si>
    <t>Securing Bank Financing, projecting earnings, activity-based costing</t>
  </si>
  <si>
    <t>(Table adapted from Arpa-E)</t>
  </si>
  <si>
    <t>Limitation</t>
  </si>
  <si>
    <t>While TEAs assess your cost competitiveness, value is what drives market potential. Doing a TEA only shows one side of the medal. Performing competitive benchmarking across different categories (functional properties etc.) should complement your TEA.</t>
  </si>
  <si>
    <t>Useful Resources:</t>
  </si>
  <si>
    <t>Activate TEA Whitepaper</t>
  </si>
  <si>
    <t>Legend:</t>
  </si>
  <si>
    <t>Blue = Input</t>
  </si>
  <si>
    <t>Techno-Economic Analysis: Best Practices and Assessment Tools by Sandia National Laboratories</t>
  </si>
  <si>
    <t>Grey = Dropdown</t>
  </si>
  <si>
    <t>Global Co2 Initiative</t>
  </si>
  <si>
    <t>Towards improved guidelines for cost evaluation of carbon capture and storage</t>
  </si>
  <si>
    <t>Best Practice Example 1: Techno-economic assessment of CO2 direct air capture plants</t>
  </si>
  <si>
    <t>Best Practice Example 2: General Techno-Economic Analysis of CO2 Electrolysis Systems</t>
  </si>
  <si>
    <t>For excellent, more technical templates, which inspired ours, check out Grant Faber's templates</t>
  </si>
  <si>
    <t>Planet A does not take responsibility for any kind of errors, mistakes or other issues with this template. For questions get back to florian@planet-a.com</t>
  </si>
  <si>
    <t>Technology Description</t>
  </si>
  <si>
    <t>Instructions:</t>
  </si>
  <si>
    <r>
      <rPr>
        <b/>
        <sz val="10"/>
        <color theme="1"/>
        <rFont val="Source Sans Pro"/>
      </rPr>
      <t xml:space="preserve">General: </t>
    </r>
    <r>
      <rPr>
        <sz val="10"/>
        <color theme="1"/>
        <rFont val="Source Sans Pro"/>
      </rPr>
      <t>Given that processes vary considerably this tab is a placeholder not a template. Use this tab to provide a basic overview of your process and technology. If possible list any calculations necessary to arrive at Mass/Energy Balances and Basic Equipment Sizing.</t>
    </r>
  </si>
  <si>
    <t>Company XYZ - Preseed Round</t>
  </si>
  <si>
    <t>Private and Confidential</t>
  </si>
  <si>
    <t>System Definition</t>
  </si>
  <si>
    <r>
      <rPr>
        <b/>
        <sz val="10"/>
        <color theme="1"/>
        <rFont val="Source Sans Pro"/>
      </rPr>
      <t xml:space="preserve">System Definition: </t>
    </r>
    <r>
      <rPr>
        <sz val="10"/>
        <color theme="1"/>
        <rFont val="Source Sans Pro"/>
      </rPr>
      <t>Use this section to provide a high level overview of your process and a basic description of principles and core fundamental. Include your TRL and the final output/product of the process.</t>
    </r>
  </si>
  <si>
    <t>Basic Process Flow</t>
  </si>
  <si>
    <r>
      <rPr>
        <b/>
        <sz val="10"/>
        <color theme="1"/>
        <rFont val="Source Sans Pro"/>
      </rPr>
      <t xml:space="preserve">Process Flow: </t>
    </r>
    <r>
      <rPr>
        <sz val="10"/>
        <color theme="1"/>
        <rFont val="Source Sans Pro"/>
      </rPr>
      <t>Insert a simple process flow outlining the process. Capture the entire production process in easily understood format. 1) Descriptive step names and step-wise material inputs and outputs 2) Establish modeling level of detail: each step to receive its own treatment in production model 3) Overall inputs and output define position in value chain.</t>
    </r>
  </si>
  <si>
    <t>Mass Balance</t>
  </si>
  <si>
    <r>
      <rPr>
        <b/>
        <sz val="10"/>
        <color theme="1"/>
        <rFont val="Source Sans Pro"/>
      </rPr>
      <t xml:space="preserve">Mass Balance: </t>
    </r>
    <r>
      <rPr>
        <sz val="10"/>
        <color theme="1"/>
        <rFont val="Source Sans Pro"/>
      </rPr>
      <t>Use this section to give an high-level overview of the performed Mass Balance calculations which are fed into the cost sheet.</t>
    </r>
  </si>
  <si>
    <t>Equipment Sizing</t>
  </si>
  <si>
    <r>
      <rPr>
        <b/>
        <sz val="10"/>
        <color theme="1"/>
        <rFont val="Source Sans Pro"/>
      </rPr>
      <t xml:space="preserve">Equipment Sizing: </t>
    </r>
    <r>
      <rPr>
        <sz val="10"/>
        <color theme="1"/>
        <rFont val="Source Sans Pro"/>
      </rPr>
      <t>Highlight the main inputs and thoughts behind your equipment sizing.</t>
    </r>
  </si>
  <si>
    <t>Cost Input Sheet</t>
  </si>
  <si>
    <t>General Parameters</t>
  </si>
  <si>
    <r>
      <rPr>
        <b/>
        <sz val="10"/>
        <color theme="1"/>
        <rFont val="Source Sans Pro"/>
      </rPr>
      <t xml:space="preserve">Instructions:
</t>
    </r>
    <r>
      <rPr>
        <sz val="10"/>
        <color theme="1"/>
        <rFont val="Source Sans Pro"/>
      </rPr>
      <t>1. Fill out the cost items below. On the right, there are reference values which you can use.
2. Cost is in Euros. Use currency calculator in cell F4 to convert any other  currency to euro
3. Energy prices per kWh are provided on the instructions cell H32 and can be multiplied by the total consumption
4. Alternative way to calculate capex is by using the 'lang factor' in cell H85</t>
    </r>
  </si>
  <si>
    <t>Value</t>
  </si>
  <si>
    <t>Unit</t>
  </si>
  <si>
    <t>Output</t>
  </si>
  <si>
    <t>Co2</t>
  </si>
  <si>
    <t>(e.g. Co2, H2)</t>
  </si>
  <si>
    <t>Annual Production Volume</t>
  </si>
  <si>
    <t>tons/year</t>
  </si>
  <si>
    <t>Annual Utiliation</t>
  </si>
  <si>
    <t>percentage</t>
  </si>
  <si>
    <t>Geography</t>
  </si>
  <si>
    <t>France</t>
  </si>
  <si>
    <t>Land Needed</t>
  </si>
  <si>
    <t>Land: Low value (eg. desert)</t>
  </si>
  <si>
    <t>Live Currency Converter</t>
  </si>
  <si>
    <t>Type</t>
  </si>
  <si>
    <t>Solids</t>
  </si>
  <si>
    <t>Reference currency</t>
  </si>
  <si>
    <t>Dollars</t>
  </si>
  <si>
    <t>Plant Lifetime</t>
  </si>
  <si>
    <t>years</t>
  </si>
  <si>
    <t>Euro</t>
  </si>
  <si>
    <t>Operating Expenditure (annual)</t>
  </si>
  <si>
    <t>Suggested Value</t>
  </si>
  <si>
    <t>Notes</t>
  </si>
  <si>
    <t>Source</t>
  </si>
  <si>
    <t xml:space="preserve">Column H provides suggested values to be used based on real time market and average costs </t>
  </si>
  <si>
    <t>Cost Type: List all relevant cost items. Add and change items as needed.</t>
  </si>
  <si>
    <t>Amount: Define the amount per item. For fixed items choose 1.</t>
  </si>
  <si>
    <t>Unit: Define the relevant unit. E.g.: ton of material per ton of output.</t>
  </si>
  <si>
    <t>Cost/Unit: List the associated cost per unit</t>
  </si>
  <si>
    <t>Source: Refence the source of cost estimates</t>
  </si>
  <si>
    <t>Description: Provide a brief description of the line item if necessary.</t>
  </si>
  <si>
    <t>1. Raw Materials</t>
  </si>
  <si>
    <t>Cost Type</t>
  </si>
  <si>
    <t>Amount</t>
  </si>
  <si>
    <t>Cost/Unit</t>
  </si>
  <si>
    <t>Description</t>
  </si>
  <si>
    <t>Raw material 1</t>
  </si>
  <si>
    <t>ton/ton</t>
  </si>
  <si>
    <t>Use Online sources, expert interviews or supplier quotes to estimate raw material prices. Express them as kg, ton, liter etc. of input per ton of output.</t>
  </si>
  <si>
    <t>Raw material 2</t>
  </si>
  <si>
    <t>Raw material 3</t>
  </si>
  <si>
    <t>Raw material 4</t>
  </si>
  <si>
    <t>Raw material 5</t>
  </si>
  <si>
    <t>Raw material 6</t>
  </si>
  <si>
    <t>2. Process Energy</t>
  </si>
  <si>
    <t>Live electricity prices</t>
  </si>
  <si>
    <t>Choose between live prices or 3 year average prices</t>
  </si>
  <si>
    <t>Energy (Grid)</t>
  </si>
  <si>
    <t>KwH/ ton</t>
  </si>
  <si>
    <t>Electricity cost for for industrial buyer in study location (Euros/ kWh)</t>
  </si>
  <si>
    <t>Fuel (Diesel)</t>
  </si>
  <si>
    <t>Liter/ton</t>
  </si>
  <si>
    <t>Fuel cost for for industrial buyer in study location (Euros/ Liter)</t>
  </si>
  <si>
    <t>Natural gas</t>
  </si>
  <si>
    <t>m3/ton</t>
  </si>
  <si>
    <t>Natural gas cost for for industrial buyer in study location (Euros per m3)</t>
  </si>
  <si>
    <t>4. Other Variable Operating Expenditure</t>
  </si>
  <si>
    <t>Water</t>
  </si>
  <si>
    <t>liter/ton</t>
  </si>
  <si>
    <t>Cost of tap water in Europe (Euros/ Liter)</t>
  </si>
  <si>
    <t>Non-consumables (e.g. Catalysts)</t>
  </si>
  <si>
    <t>Transport</t>
  </si>
  <si>
    <t>Other 1</t>
  </si>
  <si>
    <t>Other 2</t>
  </si>
  <si>
    <t>Other 3</t>
  </si>
  <si>
    <t>3. Labor</t>
  </si>
  <si>
    <t>Direct labor (shift positions)</t>
  </si>
  <si>
    <t>positions</t>
  </si>
  <si>
    <t>Cost of labor (Euros/ hour)</t>
  </si>
  <si>
    <t>Supervision + Plants Overhead</t>
  </si>
  <si>
    <t>Average value taken from</t>
  </si>
  <si>
    <t>Chemical Engineering Design - Costing and Project Evaluation</t>
  </si>
  <si>
    <t>Fringe coefficient</t>
  </si>
  <si>
    <t>Assumption of Average European Value</t>
  </si>
  <si>
    <t>5. Fixed Operating Expenditure</t>
  </si>
  <si>
    <t>Maintenance &amp; Repair</t>
  </si>
  <si>
    <t>Maintenance and repair costs as fraction of purchased equipment cost</t>
  </si>
  <si>
    <t>Insurance &amp; Taxes</t>
  </si>
  <si>
    <t>Insurance and taxes costs as fraction of purchased equipment cost</t>
  </si>
  <si>
    <t>Waste Disposal</t>
  </si>
  <si>
    <t>End of Life Expenses</t>
  </si>
  <si>
    <t>Capital Expenditure</t>
  </si>
  <si>
    <t xml:space="preserve">Many Fixed Cost items will be calculated as a percentage of  </t>
  </si>
  <si>
    <t>Total purchased equipment Costs</t>
  </si>
  <si>
    <t>6. Property, Plant, and Equipment</t>
  </si>
  <si>
    <t>Process Equipment 1</t>
  </si>
  <si>
    <t>Process Equipment 2</t>
  </si>
  <si>
    <t>Process Equipment 3</t>
  </si>
  <si>
    <t>Process Equipment 4</t>
  </si>
  <si>
    <t>Process Equipment 5</t>
  </si>
  <si>
    <t>Process Equipment 6</t>
  </si>
  <si>
    <t>Supporting Facilities/Infrastructure</t>
  </si>
  <si>
    <t>If not know use this factor</t>
  </si>
  <si>
    <t>Land</t>
  </si>
  <si>
    <t>hectares</t>
  </si>
  <si>
    <t>Cost per hectar</t>
  </si>
  <si>
    <t xml:space="preserve">7. Contingency &amp; Indirect Capital Expenditure </t>
  </si>
  <si>
    <t>Total Indirect costs as fraction of purchased equipment cost</t>
  </si>
  <si>
    <t>Engineering and Supervision</t>
  </si>
  <si>
    <t>Engineering and supervision costs as fraction of purchased equipment cost</t>
  </si>
  <si>
    <t>Construction Expenses</t>
  </si>
  <si>
    <t>Construction expenses as fraction of purchased equipment cost</t>
  </si>
  <si>
    <t>Other Indirect Costs</t>
  </si>
  <si>
    <t>Legal costs as fraction of purchased equipment cost</t>
  </si>
  <si>
    <t>Process Contingency</t>
  </si>
  <si>
    <t>Contigency costs as fraction of purchased equipment cost</t>
  </si>
  <si>
    <t>Project Contigency</t>
  </si>
  <si>
    <t>Percentage of Debt (Gearing Ratio)</t>
  </si>
  <si>
    <t>Interest Rate</t>
  </si>
  <si>
    <t>Discount Rate</t>
  </si>
  <si>
    <t>Total Indirect Capex</t>
  </si>
  <si>
    <t>Lang Factor</t>
  </si>
  <si>
    <t>Revenue Data (annual)</t>
  </si>
  <si>
    <t>8. Projected Revenue from Offtakes etc.</t>
  </si>
  <si>
    <t>Revenue Type</t>
  </si>
  <si>
    <t>Price/Unit</t>
  </si>
  <si>
    <t>Output 1</t>
  </si>
  <si>
    <t>By-Product 1</t>
  </si>
  <si>
    <t>By-Product 2</t>
  </si>
  <si>
    <t>By-Product 3</t>
  </si>
  <si>
    <t>9. Actual Market Prices</t>
  </si>
  <si>
    <t>Output Sheet</t>
  </si>
  <si>
    <t>Overview of Key Metrics</t>
  </si>
  <si>
    <t>Capacity</t>
  </si>
  <si>
    <t>Key Indicators</t>
  </si>
  <si>
    <t>Net Production</t>
  </si>
  <si>
    <t>€/ton</t>
  </si>
  <si>
    <t>Operating Expenditure</t>
  </si>
  <si>
    <t>Levellised Cost</t>
  </si>
  <si>
    <t>Annual Cost</t>
  </si>
  <si>
    <t>% of Total</t>
  </si>
  <si>
    <t>Levelized Opex</t>
  </si>
  <si>
    <t>Levelised Capex</t>
  </si>
  <si>
    <t>Energy Intensity</t>
  </si>
  <si>
    <t>KWh/ton</t>
  </si>
  <si>
    <t>Gross Margin</t>
  </si>
  <si>
    <t>Other Raw Materials</t>
  </si>
  <si>
    <t xml:space="preserve"> 'Green' Premium</t>
  </si>
  <si>
    <t>Energy</t>
  </si>
  <si>
    <t>Capex/Capacity</t>
  </si>
  <si>
    <t>Labor</t>
  </si>
  <si>
    <t>Payback Period</t>
  </si>
  <si>
    <t>Other Variable Operating Expenses</t>
  </si>
  <si>
    <t>NPV</t>
  </si>
  <si>
    <t>€</t>
  </si>
  <si>
    <t>Fixed Operating Expenses</t>
  </si>
  <si>
    <t>IRR at year:</t>
  </si>
  <si>
    <t>Equity IRR</t>
  </si>
  <si>
    <t>Total  Opex</t>
  </si>
  <si>
    <t>Process Equipment</t>
  </si>
  <si>
    <t>Engineering &amp; Construction</t>
  </si>
  <si>
    <t>Contingency</t>
  </si>
  <si>
    <t>Cost of Capital</t>
  </si>
  <si>
    <t>Total Capex</t>
  </si>
  <si>
    <t>Total Costs</t>
  </si>
  <si>
    <t>Revenue</t>
  </si>
  <si>
    <t>Per Unit</t>
  </si>
  <si>
    <t>Total</t>
  </si>
  <si>
    <t>Total Revenue</t>
  </si>
  <si>
    <t>Sensitivity Analysis</t>
  </si>
  <si>
    <t>1. Tornado Diagram Inputs</t>
  </si>
  <si>
    <t>Worst Case</t>
  </si>
  <si>
    <t xml:space="preserve">Base Case </t>
  </si>
  <si>
    <t>Best Case</t>
  </si>
  <si>
    <t>Units</t>
  </si>
  <si>
    <t>Annual Utilisation</t>
  </si>
  <si>
    <t>eur/ton</t>
  </si>
  <si>
    <t>Energy Use</t>
  </si>
  <si>
    <t>Other Capex</t>
  </si>
  <si>
    <t>Increments</t>
  </si>
  <si>
    <t>Duration</t>
  </si>
  <si>
    <t>Start</t>
  </si>
  <si>
    <t>End</t>
  </si>
  <si>
    <t>Debt Tenor</t>
  </si>
  <si>
    <t>Repayment periods remaining</t>
  </si>
  <si>
    <t>Construction</t>
  </si>
  <si>
    <t>Capex Total</t>
  </si>
  <si>
    <t>Investment Total</t>
  </si>
  <si>
    <t>Equity</t>
  </si>
  <si>
    <t>Debt</t>
  </si>
  <si>
    <t>Debt Service</t>
  </si>
  <si>
    <t>Debt Service Total</t>
  </si>
  <si>
    <t>Balance c/f</t>
  </si>
  <si>
    <t>Interest</t>
  </si>
  <si>
    <t>Principal</t>
  </si>
  <si>
    <t>Operations</t>
  </si>
  <si>
    <t>Revenue Total</t>
  </si>
  <si>
    <t>Production Cost Total</t>
  </si>
  <si>
    <t>Material Costs</t>
  </si>
  <si>
    <t>Energy Costs</t>
  </si>
  <si>
    <t>Other Operating Costs</t>
  </si>
  <si>
    <t>Gross Profit Margin %</t>
  </si>
  <si>
    <t>Indirect Costs</t>
  </si>
  <si>
    <t>EBITDA</t>
  </si>
  <si>
    <t>Depreciation &amp; Amortisation</t>
  </si>
  <si>
    <t>Interest Expense</t>
  </si>
  <si>
    <t>EBT</t>
  </si>
  <si>
    <t>Taxes</t>
  </si>
  <si>
    <t>Net Income</t>
  </si>
  <si>
    <t>Net Income Margin %</t>
  </si>
  <si>
    <t>CFADS</t>
  </si>
  <si>
    <t>NPV of CFADS</t>
  </si>
  <si>
    <t>DSCR</t>
  </si>
  <si>
    <t>LLCR</t>
  </si>
  <si>
    <t>Returns</t>
  </si>
  <si>
    <t>Cashflow Available for Equity</t>
  </si>
  <si>
    <t>Cumulative Cashflows</t>
  </si>
  <si>
    <t>Cashflow build-up</t>
  </si>
  <si>
    <t>Investment</t>
  </si>
  <si>
    <t>Distributions</t>
  </si>
  <si>
    <t>Debt service</t>
  </si>
  <si>
    <t>Capex</t>
  </si>
  <si>
    <t>Tax</t>
  </si>
  <si>
    <t>Operation cost</t>
  </si>
  <si>
    <t>Scaling Analysis</t>
  </si>
  <si>
    <t>Initial Capacity</t>
  </si>
  <si>
    <t>Capacity (Tons/year)</t>
  </si>
  <si>
    <t>Summary</t>
  </si>
  <si>
    <t xml:space="preserve">Cost estimates for early-stage technologies tend to be optimistic and significantly lower than the actual cost of technologies, while the relatively high cost of early deployments tends to decline as the technology is adopted and matures. This decline reflects a “learning rate” which can be estimated mathematically, thus providing an alternative costing method for advanced technologies once they reach the stage of large-scale deployment. </t>
  </si>
  <si>
    <t>FOAK Plant</t>
  </si>
  <si>
    <t>NOAK Plant</t>
  </si>
  <si>
    <t>Max Capacity (for graph)</t>
  </si>
  <si>
    <t>Technology</t>
  </si>
  <si>
    <t>Costs (€/ Ton)</t>
  </si>
  <si>
    <t>Learning rates</t>
  </si>
  <si>
    <t>Final costs (€/ Ton)</t>
  </si>
  <si>
    <t>Methodology</t>
  </si>
  <si>
    <t>General</t>
  </si>
  <si>
    <t>There are five basic steps in estimating future component and plant costs</t>
  </si>
  <si>
    <t>Capacity (Tons/ year)</t>
  </si>
  <si>
    <t>Step 1</t>
  </si>
  <si>
    <t xml:space="preserve"> Decompose the overall plant into major technology sub-sections</t>
  </si>
  <si>
    <t>Step 2</t>
  </si>
  <si>
    <t>Estimate the current overall plant cost and sub-section contributions</t>
  </si>
  <si>
    <t>Step 3</t>
  </si>
  <si>
    <t xml:space="preserve"> Select appropriate learning rates for each major sub-section</t>
  </si>
  <si>
    <t>Step 4</t>
  </si>
  <si>
    <t>Set the starting point for learning and end point for future cost estimates</t>
  </si>
  <si>
    <t>Step 5</t>
  </si>
  <si>
    <t>Compute future sub-section as a function of cumulative experience and aggregate for plant-level results.</t>
  </si>
  <si>
    <t>a</t>
  </si>
  <si>
    <t>Establish current costs (a), Learning Rates (LR), Starting point and end points selected (x)</t>
  </si>
  <si>
    <t>b</t>
  </si>
  <si>
    <t xml:space="preserve">Calculate learning rate exponent </t>
  </si>
  <si>
    <t>c</t>
  </si>
  <si>
    <t>Calculate final cost at desired year</t>
  </si>
  <si>
    <t>Useful sources</t>
  </si>
  <si>
    <t>Learning rate examples and details</t>
  </si>
  <si>
    <t>https://www.osti.gov/servlets/purl/1779820</t>
  </si>
  <si>
    <t>Cost estimation best practises</t>
  </si>
  <si>
    <t>Chemical Engineering Design, Chapter 6_ Costing and Project Evaluation_6th edition (1).pdf</t>
  </si>
  <si>
    <t>Summary of costs at each stage</t>
  </si>
  <si>
    <t>https://www.sciencedirect.com/science/article/pii/S0301479718312180</t>
  </si>
  <si>
    <t>Show Graph for:</t>
  </si>
  <si>
    <t>Sum Total</t>
  </si>
  <si>
    <t>Reference Values for Learning Rates:</t>
  </si>
  <si>
    <t>Energy Source</t>
  </si>
  <si>
    <t>AVERAGE of Learning rate (LR)</t>
  </si>
  <si>
    <t>Biomass</t>
  </si>
  <si>
    <t>Coal</t>
  </si>
  <si>
    <t>Energy Storage</t>
  </si>
  <si>
    <t>Hydroelectric</t>
  </si>
  <si>
    <t>Hydrogen</t>
  </si>
  <si>
    <t>Natural Gas</t>
  </si>
  <si>
    <t>Nuclear</t>
  </si>
  <si>
    <t>Other Technologies</t>
  </si>
  <si>
    <t>PV balance of system (BOS )</t>
  </si>
  <si>
    <t>Solar</t>
  </si>
  <si>
    <t>Wind</t>
  </si>
  <si>
    <t>CAGR:</t>
  </si>
  <si>
    <t>Costs</t>
  </si>
  <si>
    <t>Location</t>
  </si>
  <si>
    <t xml:space="preserve"> </t>
  </si>
  <si>
    <t>Live rates</t>
  </si>
  <si>
    <t>“Plant Design and Economics for Chemical Engineers; Peters, M., Timmerhaus, K., and West, R.”</t>
  </si>
  <si>
    <r>
      <rPr>
        <b/>
        <sz val="10"/>
        <color theme="1"/>
        <rFont val="Calibri"/>
      </rPr>
      <t xml:space="preserve">Fraction of </t>
    </r>
    <r>
      <rPr>
        <b/>
        <u/>
        <sz val="10"/>
        <color theme="1"/>
        <rFont val="Calibri"/>
      </rPr>
      <t>delivered-equipment cost</t>
    </r>
    <r>
      <rPr>
        <b/>
        <sz val="10"/>
        <color theme="1"/>
        <rFont val="Calibri"/>
      </rPr>
      <t xml:space="preserve"> for plants processing:</t>
    </r>
  </si>
  <si>
    <t>SOURCE GUIDE</t>
  </si>
  <si>
    <t>Central europe</t>
  </si>
  <si>
    <t>West Europe</t>
  </si>
  <si>
    <t>Electricity</t>
  </si>
  <si>
    <t>Currency exchange rates</t>
  </si>
  <si>
    <t>Solid-Fluid</t>
  </si>
  <si>
    <t>Fluid</t>
  </si>
  <si>
    <t>Water ($/m3)</t>
  </si>
  <si>
    <t>Live rates -
 (Eur/MWH)</t>
  </si>
  <si>
    <t xml:space="preserve"> Live rates - 
(Eur/kWH)</t>
  </si>
  <si>
    <t xml:space="preserve"> 2020 - 2022 average - 
(Eur/kWH)</t>
  </si>
  <si>
    <t>Dollars to euros</t>
  </si>
  <si>
    <t>Purchased Equipment Cost (From Design &amp; Sizing)</t>
  </si>
  <si>
    <t>This worksheet lists various sources that may be useful for collecting inventory data or impact assessment factors. The list was derived from the database guides on the AssessCCUS website that can be found at https://assessccus.globalco2initiative.org/tea/databases/ and https://assessccus.globalco2initiative.org/lca/databases/.</t>
  </si>
  <si>
    <t>Labor ($/hour)</t>
  </si>
  <si>
    <t>https://euenergy.live/?utm_content=cmp-true</t>
  </si>
  <si>
    <t>Pounds to euros</t>
  </si>
  <si>
    <t>Direct Costs (DC)</t>
  </si>
  <si>
    <t>Fuel - Diesel ($/L)</t>
  </si>
  <si>
    <t>SEK to Euros</t>
  </si>
  <si>
    <t>Installation Factor</t>
  </si>
  <si>
    <t>TEA: Materials and Equipment</t>
  </si>
  <si>
    <t>Natural gas prices (2022) - (€/m3)</t>
  </si>
  <si>
    <t>Instrumentations &amp; Controls</t>
  </si>
  <si>
    <t>Piping</t>
  </si>
  <si>
    <r>
      <rPr>
        <sz val="12"/>
        <color theme="1"/>
        <rFont val="Calibri"/>
      </rPr>
      <t>Economic Feasibility for CO</t>
    </r>
    <r>
      <rPr>
        <vertAlign val="subscript"/>
        <sz val="12"/>
        <color theme="1"/>
        <rFont val="Calibri (Body)"/>
      </rPr>
      <t>2</t>
    </r>
    <r>
      <rPr>
        <sz val="11"/>
        <color theme="1"/>
        <rFont val="Calibri"/>
      </rPr>
      <t xml:space="preserve"> Conversion Pathways</t>
    </r>
  </si>
  <si>
    <t>https://www.nrel.gov/bioenergy/co2-utilization-economics/conversion-pathways.html</t>
  </si>
  <si>
    <t>Electrical Systems</t>
  </si>
  <si>
    <t>Google Scholar</t>
  </si>
  <si>
    <t>https://scholar.google.com/</t>
  </si>
  <si>
    <t>Land: High value (eg. industrial)</t>
  </si>
  <si>
    <t>EUR/Ha</t>
  </si>
  <si>
    <t>Buildings</t>
  </si>
  <si>
    <t>U.S. National Energy Technology Laboratory Capital Cost Scaling Methodology</t>
  </si>
  <si>
    <t>https://www.netl.doe.gov/energy-analysis/details?id=1026</t>
  </si>
  <si>
    <t>Land: Medium value (eg. agricultural)</t>
  </si>
  <si>
    <t>Service Facilities</t>
  </si>
  <si>
    <t>Chapter 6 – Costing and Project Evaluation, from Chemical Engineering Design</t>
  </si>
  <si>
    <t>https://www.sciencedirect.com/science/article/pii/B9780081025994000060</t>
  </si>
  <si>
    <t>Indirect Costs (IDC)</t>
  </si>
  <si>
    <t>Appendix D: Capital Cost Guidelines, from Rules of Thumb in Engineering Practice</t>
  </si>
  <si>
    <t>https://onlinelibrary.wiley.com/doi/pdf/10.1002/9783527611119.app4</t>
  </si>
  <si>
    <t>Capcost 2017, from Analysis, Synthesis, and Design of Chemical Processes</t>
  </si>
  <si>
    <t>https://richardturton.faculty.wvu.edu/publications/analysis-synthesis-and-design-of-chemical-processes-5th-edition</t>
  </si>
  <si>
    <t>Learning rate (LR)</t>
  </si>
  <si>
    <t>Online Equipment Cost Calculator, from Plant Design and Economics for Chemical Engineers</t>
  </si>
  <si>
    <t>http://www.mhhe.com/engcs/chemical/peters/data/</t>
  </si>
  <si>
    <t>Pulverized coal plant (PC)</t>
  </si>
  <si>
    <t>Legal Expenses, Contractor’s Fee</t>
  </si>
  <si>
    <t>Perry's Chemical Engineers' Handbook</t>
  </si>
  <si>
    <t>https://chembugs.files.wordpress.com/2015/12/perrys-chemical-engineering-handbook1.pdf</t>
  </si>
  <si>
    <t>FGD system</t>
  </si>
  <si>
    <t>The Engineering ToolBox</t>
  </si>
  <si>
    <t>https://www.engineeringtoolbox.com/</t>
  </si>
  <si>
    <t>FGD system (O&amp;M cost)</t>
  </si>
  <si>
    <t>Fixed Capital Investment (FCI = PEC + DC + IDC)</t>
  </si>
  <si>
    <t>U.S. Cooperative Extension Service Offices by State</t>
  </si>
  <si>
    <t>https://nifa.usda.gov/land-grant-colleges-and-universities-partner-website-directory</t>
  </si>
  <si>
    <t>SCR system</t>
  </si>
  <si>
    <t>Working Capital (15% of TCI)</t>
  </si>
  <si>
    <t>TEA: Labor and Finance</t>
  </si>
  <si>
    <t>SCR system (O&amp;M cost)</t>
  </si>
  <si>
    <t>Total Capital Investment (TCI = FCI + WC)</t>
  </si>
  <si>
    <t>NGCC</t>
  </si>
  <si>
    <t>U.S. Bureau of Labor Statistics</t>
  </si>
  <si>
    <t>https://www.bls.gov/</t>
  </si>
  <si>
    <t>Gas Turbine</t>
  </si>
  <si>
    <t>Cost of Land (CoL)</t>
  </si>
  <si>
    <r>
      <rPr>
        <sz val="10"/>
        <color theme="1"/>
        <rFont val="Calibri"/>
      </rPr>
      <t>•</t>
    </r>
    <r>
      <rPr>
        <b/>
        <sz val="10"/>
        <color theme="1"/>
        <rFont val="Calibri"/>
      </rPr>
      <t>CoL = 6% of FCI</t>
    </r>
  </si>
  <si>
    <t>U.S. Bureau of Labor Statistics CPI Inflation Calculator</t>
  </si>
  <si>
    <t>https://www.bls.gov/data/inflation_calculator.htm</t>
  </si>
  <si>
    <t>NGCCb</t>
  </si>
  <si>
    <t>Prof. Aswath Damodaran’s cost of capital for U.S. industries index</t>
  </si>
  <si>
    <t>http://pages.stern.nyu.edu/~adamodar/New_Home_Page/datafile/wacc.html</t>
  </si>
  <si>
    <t>Nuclear plants</t>
  </si>
  <si>
    <t>Prof. Aswath Damodaran’s finance metric datasets</t>
  </si>
  <si>
    <t>http://pages.stern.nyu.edu/~adamodar/New_Home_Page/datacurrent.html</t>
  </si>
  <si>
    <t>Nuclear (business as usual)b</t>
  </si>
  <si>
    <t>TEA: Energy</t>
  </si>
  <si>
    <t>Nuclear (optimal conditions)</t>
  </si>
  <si>
    <t>Power generation</t>
  </si>
  <si>
    <t>U.S. Energy Information Administration</t>
  </si>
  <si>
    <t>https://www.eia.gov/</t>
  </si>
  <si>
    <t>Power generation low</t>
  </si>
  <si>
    <t>U.S. National Renewable Energy Laboratory TEA Section</t>
  </si>
  <si>
    <t>https://www.nrel.gov/analysis/techno-economic.html</t>
  </si>
  <si>
    <t>FCEV fuel cell stacks</t>
  </si>
  <si>
    <t>International Renewable Energy Agency Cost Data</t>
  </si>
  <si>
    <t>https://irena.org/costs</t>
  </si>
  <si>
    <t>PEFC micro-CHP</t>
  </si>
  <si>
    <t>Open Energy Information</t>
  </si>
  <si>
    <t>https://openei.org/apps/TCDB/</t>
  </si>
  <si>
    <t>H2 (alkaline electrolysis)</t>
  </si>
  <si>
    <t>TEA: Carbon Dioxide</t>
  </si>
  <si>
    <t>H2 (SMR)</t>
  </si>
  <si>
    <t>H2 (SMR) (O&amp;M costs)</t>
  </si>
  <si>
    <t>U.S. National Energy Technology Laboratory Energy Analysis Tools</t>
  </si>
  <si>
    <t>https://www.netl.doe.gov/energy-analysis/search?search=AnalyticalTools</t>
  </si>
  <si>
    <t>Onshore</t>
  </si>
  <si>
    <t>An assessment of CCS costs, barriers and potential</t>
  </si>
  <si>
    <t>https://www.sciencedirect.com/science/article/pii/S2211467X18300634</t>
  </si>
  <si>
    <t>Onshore (1982-2016)</t>
  </si>
  <si>
    <r>
      <rPr>
        <sz val="12"/>
        <color theme="1"/>
        <rFont val="Calibri"/>
      </rPr>
      <t>FE/NETL CO</t>
    </r>
    <r>
      <rPr>
        <vertAlign val="subscript"/>
        <sz val="12"/>
        <color theme="1"/>
        <rFont val="Calibri (Body)"/>
      </rPr>
      <t>2</t>
    </r>
    <r>
      <rPr>
        <sz val="11"/>
        <color theme="1"/>
        <rFont val="Calibri"/>
      </rPr>
      <t xml:space="preserve"> Transport Cost Model: Spreadsheet</t>
    </r>
  </si>
  <si>
    <t>https://www.netl.doe.gov/energy-analysis/details?id=543</t>
  </si>
  <si>
    <t>Onshore (2009-2016)</t>
  </si>
  <si>
    <r>
      <rPr>
        <sz val="12"/>
        <color theme="1"/>
        <rFont val="Calibri"/>
      </rPr>
      <t>FE/NETL CO</t>
    </r>
    <r>
      <rPr>
        <vertAlign val="subscript"/>
        <sz val="12"/>
        <color theme="1"/>
        <rFont val="Calibri (Body)"/>
      </rPr>
      <t>2</t>
    </r>
    <r>
      <rPr>
        <sz val="11"/>
        <color theme="1"/>
        <rFont val="Calibri"/>
      </rPr>
      <t xml:space="preserve"> Transport Cost Model: Overview</t>
    </r>
  </si>
  <si>
    <t>https://www.netl.doe.gov/projects/files/FENETLCO2TransportCostModel2018ModelOverview_050818.pdf</t>
  </si>
  <si>
    <t>Offshore</t>
  </si>
  <si>
    <r>
      <rPr>
        <sz val="12"/>
        <color theme="1"/>
        <rFont val="Calibri"/>
      </rPr>
      <t>FE/NETL CO</t>
    </r>
    <r>
      <rPr>
        <vertAlign val="subscript"/>
        <sz val="12"/>
        <color theme="1"/>
        <rFont val="Calibri (Body)"/>
      </rPr>
      <t>2</t>
    </r>
    <r>
      <rPr>
        <sz val="11"/>
        <color theme="1"/>
        <rFont val="Calibri"/>
      </rPr>
      <t xml:space="preserve"> Transport Cost Model: User Manual</t>
    </r>
  </si>
  <si>
    <t>https://netl.doe.gov/projects/files/FENETLCO2TransportCostModel2018DescriptionandUsersManual_050718.pdf</t>
  </si>
  <si>
    <t>LCA: Emissions and Energy Data</t>
  </si>
  <si>
    <t>Onshoreb</t>
  </si>
  <si>
    <t>Offshoreb</t>
  </si>
  <si>
    <t>U.S. Environmental Protection Agency Emissions &amp; Generation Resource Integrated Database (eGRID)</t>
  </si>
  <si>
    <t>https://www.epa.gov/egrid</t>
  </si>
  <si>
    <t>PV systems</t>
  </si>
  <si>
    <t>U.S. Environmental Protection Agency Waste Reduction Model (WARM)</t>
  </si>
  <si>
    <t>https://www.epa.gov/warm</t>
  </si>
  <si>
    <t>PV modules</t>
  </si>
  <si>
    <t>U.S. Argonne National Laboratory Greenhouse gases, Regulated Emissions, and Energy use in Technologies Model (GREET)</t>
  </si>
  <si>
    <t>https://greet.es.anl.gov/</t>
  </si>
  <si>
    <t>CSP plantsb</t>
  </si>
  <si>
    <t>GHGenius</t>
  </si>
  <si>
    <t>https://www.ghgenius.ca/</t>
  </si>
  <si>
    <t>PV (short -term )</t>
  </si>
  <si>
    <t>Industrial Design &amp; Engineering Materials Database (IDEMAT)</t>
  </si>
  <si>
    <t>https://www.ecocostsvalue.com/data/</t>
  </si>
  <si>
    <t>PV (long -term )</t>
  </si>
  <si>
    <t>U.S. National Energy Technology Laboratory LCA for Energy Technology and Pathways</t>
  </si>
  <si>
    <t>https://www.netl.doe.gov/LCA</t>
  </si>
  <si>
    <t>U.S. National Renewable Energy Laboratory Sustainability Analysis</t>
  </si>
  <si>
    <t>https://www.nrel.gov/analysis/sustainability.html</t>
  </si>
  <si>
    <t>Utility Li -ion storage</t>
  </si>
  <si>
    <t>https://openei.org/apps/LCA/</t>
  </si>
  <si>
    <t>Utility redox -flow storage</t>
  </si>
  <si>
    <t>IPCC Emissions Factor Database</t>
  </si>
  <si>
    <t>https://www.ipcc-nggip.iges.or.jp/EFDB/main.php</t>
  </si>
  <si>
    <t>Residential Li -ion storage</t>
  </si>
  <si>
    <t>LCA: Specific Materials</t>
  </si>
  <si>
    <t>BEV battery packs</t>
  </si>
  <si>
    <t>HEV battery packs</t>
  </si>
  <si>
    <t>Building for Environmental and Economic Sustainability (BEES)</t>
  </si>
  <si>
    <t>https://ws680.nist.gov/bees/</t>
  </si>
  <si>
    <t>Heat pumps</t>
  </si>
  <si>
    <t>PlasticsEurope Eco-profiles</t>
  </si>
  <si>
    <t>https://www.plasticseurope.org/en/resources/eco-profiles</t>
  </si>
  <si>
    <t>LNG production</t>
  </si>
  <si>
    <t>World Steel Association Steel Life Cycle Inventory</t>
  </si>
  <si>
    <t>https://www.worldsteel.org/steel-by-topic/life-cycle-thinking.html</t>
  </si>
  <si>
    <t>LNG prod (O &amp;M costs )</t>
  </si>
  <si>
    <t>EstiMol</t>
  </si>
  <si>
    <t>https://www.ifu.com/umberto/estimol/</t>
  </si>
  <si>
    <t>Oxygen production</t>
  </si>
  <si>
    <t>ecoinvent Life Cycle Inventory Reports for Various Products</t>
  </si>
  <si>
    <t>https://ecoinvent.org/the-ecoinvent-database/login/</t>
  </si>
  <si>
    <t>Oxygen prod .(O &amp;M costs )</t>
  </si>
  <si>
    <t>Environmental Product Declaration (EPD) Library</t>
  </si>
  <si>
    <t>https://www.environdec.com/library</t>
  </si>
  <si>
    <t>Contingencies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</si>
</sst>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0.000"/>
    <numFmt numFmtId="166" formatCode="#,##0.00000"/>
    <numFmt numFmtId="167" formatCode="_([$€-2]\ * #,##0_);_([$€-2]\ * \(#,##0\);_([$€-2]\ * &quot;-&quot;??_);_(@_)"/>
    <numFmt numFmtId="168" formatCode="0.0%"/>
    <numFmt numFmtId="169" formatCode="#,##0.0"/>
    <numFmt numFmtId="170" formatCode="_(* #,##0_);* \(#,##0\);_-* &quot;-&quot;??;_-@"/>
    <numFmt numFmtId="171" formatCode="_(* #,##0.00_);_(* \(#,##0.00\);_(* &quot;-&quot;??.00_);_(@_)"/>
    <numFmt numFmtId="172" formatCode="&quot;Yr &quot;0"/>
    <numFmt numFmtId="173" formatCode="0&quot; KwH&quot;"/>
    <numFmt numFmtId="174" formatCode="0.000000000"/>
    <numFmt numFmtId="175" formatCode="_-* #,##0\ [$€-407]_-;\(* #,##0\)\ [$€-407]_-;_-* &quot;-&quot;\ [$€-407]_-;_-@"/>
    <numFmt numFmtId="176" formatCode="_(* #,##0.00\x_);_(* \(#,##0.00\x\);_-* &quot;-&quot;??;_-@"/>
    <numFmt numFmtId="177" formatCode="_(* #,##0.00%_);_(* \(#,##0.00%\);_-* &quot;-&quot;??;_-@"/>
    <numFmt numFmtId="178" formatCode="0.000"/>
  </numFmts>
  <fonts count="75">
    <font>
      <sz val="11"/>
      <color theme="1"/>
      <name val="Calibri"/>
      <scheme val="minor"/>
    </font>
    <font>
      <b/>
      <sz val="22"/>
      <color rgb="FFFFFFFF"/>
      <name val="Source Sans Pro"/>
    </font>
    <font>
      <sz val="11"/>
      <name val="Calibri"/>
    </font>
    <font>
      <sz val="11"/>
      <color theme="1"/>
      <name val="Source Sans Pro"/>
    </font>
    <font>
      <b/>
      <sz val="11"/>
      <color rgb="FF274E13"/>
      <name val="Source Sans Pro"/>
    </font>
    <font>
      <b/>
      <sz val="11"/>
      <color theme="1"/>
      <name val="Source Sans Pro"/>
    </font>
    <font>
      <b/>
      <sz val="11"/>
      <color theme="1"/>
      <name val="Calibri"/>
      <scheme val="minor"/>
    </font>
    <font>
      <sz val="11"/>
      <color rgb="FF1F1F1F"/>
      <name val="Source Sans Pro"/>
    </font>
    <font>
      <i/>
      <sz val="10"/>
      <color rgb="FF1F1F1F"/>
      <name val="Source Sans Pro"/>
    </font>
    <font>
      <sz val="11"/>
      <color theme="1"/>
      <name val="Calibri"/>
    </font>
    <font>
      <i/>
      <sz val="10"/>
      <color theme="1"/>
      <name val="Source Sans Pro"/>
    </font>
    <font>
      <i/>
      <sz val="11"/>
      <color theme="1"/>
      <name val="Source Sans Pro"/>
    </font>
    <font>
      <b/>
      <sz val="11"/>
      <color rgb="FF000000"/>
      <name val="Source Sans Pro"/>
    </font>
    <font>
      <u/>
      <sz val="11"/>
      <color rgb="FF0000FF"/>
      <name val="Source Sans Pro"/>
    </font>
    <font>
      <u/>
      <sz val="11"/>
      <color rgb="FF0000FF"/>
      <name val="Calibri"/>
    </font>
    <font>
      <u/>
      <sz val="11"/>
      <color rgb="FF0563C1"/>
      <name val="Source Sans Pro"/>
    </font>
    <font>
      <b/>
      <sz val="22"/>
      <color theme="0"/>
      <name val="Source Sans Pro"/>
    </font>
    <font>
      <b/>
      <sz val="20"/>
      <color theme="1"/>
      <name val="Source Sans Pro"/>
    </font>
    <font>
      <sz val="10"/>
      <color theme="1"/>
      <name val="Source Sans Pro"/>
    </font>
    <font>
      <b/>
      <sz val="18"/>
      <color theme="1"/>
      <name val="Source Sans Pro"/>
    </font>
    <font>
      <b/>
      <sz val="10"/>
      <color theme="1"/>
      <name val="Source Sans Pro"/>
    </font>
    <font>
      <b/>
      <sz val="20"/>
      <color rgb="FF000000"/>
      <name val="Source Sans Pro"/>
    </font>
    <font>
      <b/>
      <sz val="22"/>
      <color rgb="FF000000"/>
      <name val="Source Sans Pro"/>
    </font>
    <font>
      <sz val="11"/>
      <color theme="1"/>
      <name val="Calibri"/>
      <scheme val="minor"/>
    </font>
    <font>
      <b/>
      <sz val="12"/>
      <color rgb="FF000000"/>
      <name val="Source Sans Pro"/>
    </font>
    <font>
      <sz val="11"/>
      <color rgb="FF000000"/>
      <name val="Source Sans Pro"/>
    </font>
    <font>
      <sz val="12"/>
      <color theme="1"/>
      <name val="Source Sans Pro"/>
    </font>
    <font>
      <b/>
      <i/>
      <sz val="11"/>
      <color theme="1"/>
      <name val="Source Sans Pro"/>
    </font>
    <font>
      <i/>
      <sz val="9"/>
      <color theme="1"/>
      <name val="Source Sans Pro"/>
    </font>
    <font>
      <sz val="9"/>
      <color theme="1"/>
      <name val="Source Sans Pro"/>
    </font>
    <font>
      <i/>
      <sz val="11"/>
      <color theme="1"/>
      <name val="Calibri"/>
      <scheme val="minor"/>
    </font>
    <font>
      <i/>
      <u/>
      <sz val="11"/>
      <color rgb="FF0000FF"/>
      <name val="Source Sans Pro"/>
    </font>
    <font>
      <sz val="12"/>
      <color rgb="FF000000"/>
      <name val="Source Sans Pro"/>
    </font>
    <font>
      <i/>
      <sz val="11"/>
      <color rgb="FF000000"/>
      <name val="Source Sans Pro"/>
    </font>
    <font>
      <i/>
      <sz val="11"/>
      <color rgb="FF1F1F1F"/>
      <name val="Source Sans Pro"/>
    </font>
    <font>
      <i/>
      <sz val="10"/>
      <color rgb="FF000000"/>
      <name val="Source Sans Pro"/>
    </font>
    <font>
      <b/>
      <sz val="12"/>
      <color theme="1"/>
      <name val="Source Sans Pro"/>
    </font>
    <font>
      <i/>
      <sz val="12"/>
      <color theme="1"/>
      <name val="Source Sans Pro"/>
    </font>
    <font>
      <sz val="9"/>
      <color rgb="FF000000"/>
      <name val="Source Sans Pro"/>
    </font>
    <font>
      <b/>
      <sz val="20"/>
      <color theme="1"/>
      <name val="Calibri"/>
    </font>
    <font>
      <sz val="15"/>
      <color rgb="FFFD8608"/>
      <name val="Helvetica Neue"/>
    </font>
    <font>
      <i/>
      <sz val="12"/>
      <color theme="1"/>
      <name val="Calibri"/>
    </font>
    <font>
      <sz val="9"/>
      <color rgb="FF000000"/>
      <name val="&quot;Google Sans Mono&quot;"/>
    </font>
    <font>
      <sz val="11"/>
      <color theme="1"/>
      <name val="Arial"/>
    </font>
    <font>
      <b/>
      <sz val="11"/>
      <color theme="1"/>
      <name val="Arial"/>
    </font>
    <font>
      <sz val="11"/>
      <color rgb="FF7F7F7F"/>
      <name val="Arial"/>
    </font>
    <font>
      <sz val="11"/>
      <color rgb="FFBFBFBF"/>
      <name val="Arial"/>
    </font>
    <font>
      <b/>
      <u/>
      <sz val="11"/>
      <color theme="1"/>
      <name val="Arial"/>
    </font>
    <font>
      <i/>
      <sz val="11"/>
      <color theme="1"/>
      <name val="Arial"/>
    </font>
    <font>
      <sz val="11"/>
      <color theme="6"/>
      <name val="Arial"/>
    </font>
    <font>
      <b/>
      <sz val="11"/>
      <color theme="0"/>
      <name val="Arial"/>
    </font>
    <font>
      <i/>
      <sz val="11"/>
      <color rgb="FF7F7F7F"/>
      <name val="Arial"/>
    </font>
    <font>
      <sz val="11"/>
      <color rgb="FF3F3F3F"/>
      <name val="Arial"/>
    </font>
    <font>
      <b/>
      <sz val="11"/>
      <color theme="6"/>
      <name val="Arial"/>
    </font>
    <font>
      <b/>
      <sz val="15"/>
      <color theme="1"/>
      <name val="Source Sans Pro"/>
    </font>
    <font>
      <b/>
      <sz val="14"/>
      <color theme="1"/>
      <name val="Source Sans Pro"/>
    </font>
    <font>
      <b/>
      <sz val="12"/>
      <color theme="1"/>
      <name val="Calibri"/>
      <scheme val="minor"/>
    </font>
    <font>
      <sz val="10"/>
      <color rgb="FF000000"/>
      <name val="Source Sans Pro"/>
    </font>
    <font>
      <b/>
      <sz val="8"/>
      <color rgb="FF000000"/>
      <name val="Source Sans Pro"/>
    </font>
    <font>
      <sz val="8"/>
      <color rgb="FF000000"/>
      <name val="Source Sans Pro"/>
    </font>
    <font>
      <sz val="10"/>
      <color theme="1"/>
      <name val="Calibri"/>
      <scheme val="minor"/>
    </font>
    <font>
      <b/>
      <sz val="10"/>
      <color theme="1"/>
      <name val="Calibri"/>
      <scheme val="minor"/>
    </font>
    <font>
      <b/>
      <sz val="26"/>
      <color theme="1"/>
      <name val="Calibri"/>
    </font>
    <font>
      <b/>
      <sz val="12"/>
      <color theme="1"/>
      <name val="Calibri"/>
    </font>
    <font>
      <u/>
      <sz val="10"/>
      <color rgb="FF0563C1"/>
      <name val="Calibri"/>
    </font>
    <font>
      <b/>
      <sz val="16"/>
      <color theme="1"/>
      <name val="Calibri"/>
    </font>
    <font>
      <sz val="12"/>
      <color theme="1"/>
      <name val="Calibri"/>
    </font>
    <font>
      <u/>
      <sz val="12"/>
      <color theme="10"/>
      <name val="Calibri"/>
    </font>
    <font>
      <sz val="11"/>
      <color theme="1"/>
      <name val="Avenir"/>
    </font>
    <font>
      <sz val="11"/>
      <color rgb="FF252D32"/>
      <name val="Avenir"/>
    </font>
    <font>
      <sz val="12"/>
      <color theme="10"/>
      <name val="Calibri"/>
    </font>
    <font>
      <b/>
      <sz val="10"/>
      <color theme="1"/>
      <name val="Calibri"/>
    </font>
    <font>
      <b/>
      <u/>
      <sz val="10"/>
      <color theme="1"/>
      <name val="Calibri"/>
    </font>
    <font>
      <vertAlign val="subscript"/>
      <sz val="12"/>
      <color theme="1"/>
      <name val="Calibri (Body)"/>
    </font>
    <font>
      <sz val="10"/>
      <color theme="1"/>
      <name val="Calibri"/>
    </font>
  </fonts>
  <fills count="13">
    <fill>
      <patternFill patternType="none"/>
    </fill>
    <fill>
      <patternFill patternType="gray125"/>
    </fill>
    <fill>
      <patternFill patternType="solid">
        <fgColor rgb="FF368736"/>
        <bgColor rgb="FF368736"/>
      </patternFill>
    </fill>
    <fill>
      <patternFill patternType="solid">
        <fgColor rgb="FFEEEEEE"/>
        <bgColor rgb="FFEEEEEE"/>
      </patternFill>
    </fill>
    <fill>
      <patternFill patternType="solid">
        <fgColor rgb="FFFFFFFF"/>
        <bgColor rgb="FFFFFFFF"/>
      </patternFill>
    </fill>
    <fill>
      <patternFill patternType="solid">
        <fgColor rgb="FFCBE3F8"/>
        <bgColor rgb="FFCBE3F8"/>
      </patternFill>
    </fill>
    <fill>
      <patternFill patternType="solid">
        <fgColor rgb="FFF2F2F2"/>
        <bgColor rgb="FFF2F2F2"/>
      </patternFill>
    </fill>
    <fill>
      <patternFill patternType="solid">
        <fgColor rgb="FFCBE4F7"/>
        <bgColor rgb="FFCBE4F7"/>
      </patternFill>
    </fill>
    <fill>
      <patternFill patternType="solid">
        <fgColor rgb="FFD0CECE"/>
        <bgColor rgb="FFD0CECE"/>
      </patternFill>
    </fill>
    <fill>
      <patternFill patternType="solid">
        <fgColor rgb="FFAEABAB"/>
        <bgColor rgb="FFAEABAB"/>
      </patternFill>
    </fill>
    <fill>
      <patternFill patternType="solid">
        <fgColor rgb="FFD8D8D8"/>
        <bgColor rgb="FFD8D8D8"/>
      </patternFill>
    </fill>
    <fill>
      <patternFill patternType="solid">
        <fgColor rgb="FF1C5B7A"/>
        <bgColor rgb="FF1C5B7A"/>
      </patternFill>
    </fill>
    <fill>
      <patternFill patternType="solid">
        <fgColor rgb="FFD9D9D9"/>
        <bgColor rgb="FFD9D9D9"/>
      </patternFill>
    </fill>
  </fills>
  <borders count="84">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bottom style="thin">
        <color rgb="FF000000"/>
      </bottom>
      <diagonal/>
    </border>
    <border>
      <left/>
      <right/>
      <top style="thin">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style="thick">
        <color rgb="FF000000"/>
      </left>
      <right/>
      <top/>
      <bottom/>
      <diagonal/>
    </border>
    <border>
      <left/>
      <right style="thick">
        <color rgb="FF000000"/>
      </right>
      <top/>
      <bottom/>
      <diagonal/>
    </border>
    <border>
      <left style="thick">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ck">
        <color rgb="FF000000"/>
      </left>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ck">
        <color rgb="FF000000"/>
      </left>
      <right/>
      <top/>
      <bottom style="thin">
        <color rgb="FF000000"/>
      </bottom>
      <diagonal/>
    </border>
    <border>
      <left/>
      <right style="thin">
        <color rgb="FF000000"/>
      </right>
      <top/>
      <bottom style="thin">
        <color rgb="FF000000"/>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ck">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ck">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hair">
        <color theme="1"/>
      </left>
      <right style="hair">
        <color theme="1"/>
      </right>
      <top style="hair">
        <color theme="1"/>
      </top>
      <bottom style="hair">
        <color theme="1"/>
      </bottom>
      <diagonal/>
    </border>
    <border>
      <left style="thin">
        <color rgb="FFBFBFBF"/>
      </left>
      <right style="thin">
        <color rgb="FFBFBFBF"/>
      </right>
      <top style="thin">
        <color rgb="FFBFBFBF"/>
      </top>
      <bottom style="thin">
        <color rgb="FFBFBFBF"/>
      </bottom>
      <diagonal/>
    </border>
    <border>
      <left style="thin">
        <color rgb="FF000000"/>
      </left>
      <right/>
      <top style="medium">
        <color rgb="FF000000"/>
      </top>
      <bottom/>
      <diagonal/>
    </border>
    <border>
      <left style="thin">
        <color rgb="FF000000"/>
      </left>
      <right/>
      <top/>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595959"/>
      </left>
      <right style="thin">
        <color rgb="FF595959"/>
      </right>
      <top style="thin">
        <color rgb="FF595959"/>
      </top>
      <bottom style="thin">
        <color rgb="FF595959"/>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511">
    <xf numFmtId="0" fontId="0" fillId="0" borderId="0" xfId="0"/>
    <xf numFmtId="0" fontId="3" fillId="0" borderId="0" xfId="0" applyFont="1"/>
    <xf numFmtId="0" fontId="4" fillId="0" borderId="0" xfId="0" applyFont="1"/>
    <xf numFmtId="0" fontId="3" fillId="0" borderId="0" xfId="0" applyFont="1" applyAlignment="1">
      <alignment horizontal="left"/>
    </xf>
    <xf numFmtId="0" fontId="0" fillId="0" borderId="0" xfId="0" applyAlignment="1">
      <alignment wrapText="1"/>
    </xf>
    <xf numFmtId="0" fontId="3" fillId="0" borderId="0" xfId="0" applyFont="1" applyAlignment="1">
      <alignment wrapText="1"/>
    </xf>
    <xf numFmtId="0" fontId="7" fillId="4" borderId="4" xfId="0" applyFont="1" applyFill="1" applyBorder="1" applyAlignment="1">
      <alignment horizontal="left" vertical="center" wrapText="1"/>
    </xf>
    <xf numFmtId="0" fontId="8" fillId="4" borderId="4" xfId="0" applyFont="1" applyFill="1" applyBorder="1" applyAlignment="1">
      <alignment horizontal="left" vertical="top" wrapText="1"/>
    </xf>
    <xf numFmtId="0" fontId="9" fillId="0" borderId="0" xfId="0" applyFont="1"/>
    <xf numFmtId="0" fontId="7" fillId="4" borderId="5" xfId="0" applyFont="1" applyFill="1" applyBorder="1" applyAlignment="1">
      <alignment horizontal="left" vertical="center" wrapText="1"/>
    </xf>
    <xf numFmtId="0" fontId="8" fillId="4" borderId="5" xfId="0" applyFont="1" applyFill="1" applyBorder="1" applyAlignment="1">
      <alignment horizontal="left" vertical="top" wrapText="1"/>
    </xf>
    <xf numFmtId="0" fontId="11" fillId="0" borderId="0" xfId="0" applyFont="1"/>
    <xf numFmtId="0" fontId="5" fillId="0" borderId="0" xfId="0" applyFont="1"/>
    <xf numFmtId="0" fontId="13" fillId="0" borderId="0" xfId="0" applyFont="1"/>
    <xf numFmtId="0" fontId="9" fillId="5" borderId="0" xfId="0" applyFont="1" applyFill="1"/>
    <xf numFmtId="0" fontId="9" fillId="3" borderId="0" xfId="0" applyFont="1" applyFill="1"/>
    <xf numFmtId="0" fontId="14" fillId="0" borderId="0" xfId="0" applyFont="1"/>
    <xf numFmtId="0" fontId="0" fillId="0" borderId="6" xfId="0" applyBorder="1"/>
    <xf numFmtId="0" fontId="0" fillId="0" borderId="7" xfId="0" applyBorder="1"/>
    <xf numFmtId="0" fontId="3" fillId="0" borderId="7" xfId="0" applyFont="1" applyBorder="1"/>
    <xf numFmtId="0" fontId="15" fillId="0" borderId="7" xfId="0" applyFont="1" applyBorder="1"/>
    <xf numFmtId="0" fontId="3" fillId="0" borderId="8" xfId="0" applyFont="1" applyBorder="1"/>
    <xf numFmtId="0" fontId="3" fillId="0" borderId="0" xfId="0" applyFont="1" applyAlignment="1">
      <alignment vertical="center" wrapText="1"/>
    </xf>
    <xf numFmtId="0" fontId="19" fillId="0" borderId="0" xfId="0" applyFont="1" applyAlignment="1">
      <alignment vertical="center" wrapText="1"/>
    </xf>
    <xf numFmtId="0" fontId="11" fillId="0" borderId="0" xfId="0" applyFont="1" applyAlignment="1">
      <alignment vertical="center" wrapText="1"/>
    </xf>
    <xf numFmtId="0" fontId="18" fillId="0" borderId="0" xfId="0" applyFont="1"/>
    <xf numFmtId="0" fontId="3" fillId="0" borderId="0" xfId="0" applyFont="1" applyAlignment="1">
      <alignment horizontal="left" vertical="center"/>
    </xf>
    <xf numFmtId="0" fontId="18" fillId="0" borderId="0" xfId="0" applyFont="1" applyAlignment="1">
      <alignment horizontal="center" vertical="center" wrapText="1"/>
    </xf>
    <xf numFmtId="0" fontId="22" fillId="0" borderId="0" xfId="0" applyFont="1"/>
    <xf numFmtId="0" fontId="22" fillId="0" borderId="0" xfId="0" applyFont="1" applyAlignment="1">
      <alignment horizontal="center"/>
    </xf>
    <xf numFmtId="0" fontId="24" fillId="0" borderId="0" xfId="0" applyFont="1" applyAlignment="1">
      <alignment horizontal="center"/>
    </xf>
    <xf numFmtId="0" fontId="24" fillId="0" borderId="9" xfId="0" applyFont="1" applyBorder="1" applyAlignment="1">
      <alignment horizontal="center"/>
    </xf>
    <xf numFmtId="0" fontId="3" fillId="0" borderId="0" xfId="0" applyFont="1" applyAlignment="1">
      <alignment horizontal="center"/>
    </xf>
    <xf numFmtId="0" fontId="12" fillId="0" borderId="0" xfId="0" applyFont="1" applyAlignment="1">
      <alignment horizontal="center"/>
    </xf>
    <xf numFmtId="0" fontId="5" fillId="0" borderId="15" xfId="0" applyFont="1" applyBorder="1"/>
    <xf numFmtId="0" fontId="3" fillId="5" borderId="12" xfId="0" applyFont="1" applyFill="1" applyBorder="1" applyAlignment="1">
      <alignment horizontal="center"/>
    </xf>
    <xf numFmtId="0" fontId="3" fillId="0" borderId="16" xfId="0" applyFont="1" applyBorder="1" applyAlignment="1">
      <alignment horizontal="left" vertical="top"/>
    </xf>
    <xf numFmtId="0" fontId="25" fillId="0" borderId="13" xfId="0" applyFont="1" applyBorder="1"/>
    <xf numFmtId="164" fontId="3" fillId="7" borderId="17" xfId="0" applyNumberFormat="1" applyFont="1" applyFill="1" applyBorder="1"/>
    <xf numFmtId="0" fontId="11" fillId="0" borderId="14" xfId="0" applyFont="1" applyBorder="1"/>
    <xf numFmtId="0" fontId="3" fillId="0" borderId="18" xfId="0" applyFont="1" applyBorder="1" applyAlignment="1">
      <alignment horizontal="left" vertical="top"/>
    </xf>
    <xf numFmtId="0" fontId="5" fillId="0" borderId="19" xfId="0" applyFont="1" applyBorder="1" applyAlignment="1">
      <alignment horizontal="center"/>
    </xf>
    <xf numFmtId="0" fontId="27" fillId="0" borderId="0" xfId="0" applyFont="1"/>
    <xf numFmtId="0" fontId="5" fillId="0" borderId="0" xfId="0" applyFont="1" applyAlignment="1">
      <alignment horizontal="center"/>
    </xf>
    <xf numFmtId="0" fontId="24" fillId="0" borderId="10" xfId="0" applyFont="1" applyBorder="1" applyAlignment="1">
      <alignment horizontal="center"/>
    </xf>
    <xf numFmtId="0" fontId="3" fillId="0" borderId="11" xfId="0" applyFont="1" applyBorder="1"/>
    <xf numFmtId="0" fontId="25" fillId="0" borderId="20" xfId="0" applyFont="1" applyBorder="1"/>
    <xf numFmtId="164" fontId="3" fillId="7" borderId="21" xfId="0" applyNumberFormat="1" applyFont="1" applyFill="1" applyBorder="1"/>
    <xf numFmtId="0" fontId="3" fillId="5" borderId="21" xfId="0" applyFont="1" applyFill="1" applyBorder="1"/>
    <xf numFmtId="164" fontId="3" fillId="0" borderId="22" xfId="0" applyNumberFormat="1" applyFont="1" applyBorder="1"/>
    <xf numFmtId="0" fontId="11" fillId="0" borderId="0" xfId="0" applyFont="1" applyAlignment="1">
      <alignment horizontal="center"/>
    </xf>
    <xf numFmtId="0" fontId="25" fillId="0" borderId="0" xfId="0" applyFont="1"/>
    <xf numFmtId="164" fontId="11" fillId="0" borderId="0" xfId="0" applyNumberFormat="1" applyFont="1"/>
    <xf numFmtId="4" fontId="3" fillId="5" borderId="17" xfId="0" applyNumberFormat="1" applyFont="1" applyFill="1" applyBorder="1"/>
    <xf numFmtId="164" fontId="3" fillId="0" borderId="14" xfId="0" applyNumberFormat="1" applyFont="1" applyBorder="1"/>
    <xf numFmtId="0" fontId="3" fillId="0" borderId="23" xfId="0" applyFont="1" applyBorder="1"/>
    <xf numFmtId="0" fontId="3" fillId="0" borderId="24" xfId="0" applyFont="1" applyBorder="1"/>
    <xf numFmtId="0" fontId="3" fillId="0" borderId="25" xfId="0" applyFont="1" applyBorder="1"/>
    <xf numFmtId="164" fontId="11" fillId="3" borderId="26" xfId="0" applyNumberFormat="1" applyFont="1" applyFill="1" applyBorder="1"/>
    <xf numFmtId="0" fontId="30" fillId="0" borderId="0" xfId="0" applyFont="1"/>
    <xf numFmtId="0" fontId="31" fillId="0" borderId="0" xfId="0" applyFont="1"/>
    <xf numFmtId="166" fontId="11" fillId="0" borderId="0" xfId="0" applyNumberFormat="1" applyFont="1" applyAlignment="1">
      <alignment horizontal="center"/>
    </xf>
    <xf numFmtId="164" fontId="26" fillId="0" borderId="14" xfId="0" applyNumberFormat="1" applyFont="1" applyBorder="1"/>
    <xf numFmtId="9" fontId="3" fillId="7" borderId="17" xfId="0" applyNumberFormat="1" applyFont="1" applyFill="1" applyBorder="1"/>
    <xf numFmtId="4" fontId="3" fillId="0" borderId="17" xfId="0" applyNumberFormat="1" applyFont="1" applyBorder="1"/>
    <xf numFmtId="164" fontId="3" fillId="0" borderId="21" xfId="0" applyNumberFormat="1" applyFont="1" applyBorder="1"/>
    <xf numFmtId="0" fontId="10" fillId="0" borderId="0" xfId="0" applyFont="1"/>
    <xf numFmtId="0" fontId="32" fillId="0" borderId="0" xfId="0" applyFont="1"/>
    <xf numFmtId="0" fontId="24" fillId="0" borderId="9" xfId="0" applyFont="1" applyBorder="1"/>
    <xf numFmtId="0" fontId="24" fillId="0" borderId="10" xfId="0" applyFont="1" applyBorder="1"/>
    <xf numFmtId="0" fontId="11" fillId="0" borderId="9" xfId="0" applyFont="1" applyBorder="1"/>
    <xf numFmtId="0" fontId="11" fillId="0" borderId="11" xfId="0" applyFont="1" applyBorder="1"/>
    <xf numFmtId="4" fontId="33" fillId="4" borderId="13" xfId="0" applyNumberFormat="1" applyFont="1" applyFill="1" applyBorder="1"/>
    <xf numFmtId="0" fontId="34" fillId="4" borderId="14" xfId="0" applyFont="1" applyFill="1" applyBorder="1"/>
    <xf numFmtId="0" fontId="33" fillId="0" borderId="0" xfId="0" applyFont="1"/>
    <xf numFmtId="0" fontId="30" fillId="0" borderId="0" xfId="0" applyFont="1" applyAlignment="1">
      <alignment horizontal="center"/>
    </xf>
    <xf numFmtId="10" fontId="3" fillId="7" borderId="27" xfId="0" applyNumberFormat="1" applyFont="1" applyFill="1" applyBorder="1"/>
    <xf numFmtId="9" fontId="3" fillId="7" borderId="27" xfId="0" applyNumberFormat="1" applyFont="1" applyFill="1" applyBorder="1"/>
    <xf numFmtId="4" fontId="18" fillId="0" borderId="0" xfId="0" applyNumberFormat="1" applyFont="1"/>
    <xf numFmtId="0" fontId="3" fillId="5" borderId="17" xfId="0" applyFont="1" applyFill="1" applyBorder="1"/>
    <xf numFmtId="164" fontId="3" fillId="4" borderId="21" xfId="0" applyNumberFormat="1" applyFont="1" applyFill="1" applyBorder="1"/>
    <xf numFmtId="164" fontId="3" fillId="4" borderId="17" xfId="0" applyNumberFormat="1" applyFont="1" applyFill="1" applyBorder="1"/>
    <xf numFmtId="0" fontId="26" fillId="0" borderId="30" xfId="0" applyFont="1" applyBorder="1"/>
    <xf numFmtId="164" fontId="26" fillId="0" borderId="31" xfId="0" applyNumberFormat="1" applyFont="1" applyBorder="1"/>
    <xf numFmtId="0" fontId="26" fillId="0" borderId="32" xfId="0" applyFont="1" applyBorder="1"/>
    <xf numFmtId="0" fontId="26" fillId="0" borderId="0" xfId="0" applyFont="1"/>
    <xf numFmtId="0" fontId="36" fillId="0" borderId="33" xfId="0" applyFont="1" applyBorder="1"/>
    <xf numFmtId="0" fontId="26" fillId="0" borderId="34" xfId="0" applyFont="1" applyBorder="1"/>
    <xf numFmtId="0" fontId="32" fillId="0" borderId="35" xfId="0" applyFont="1" applyBorder="1" applyAlignment="1">
      <alignment horizontal="center"/>
    </xf>
    <xf numFmtId="0" fontId="32" fillId="0" borderId="5" xfId="0" applyFont="1" applyBorder="1" applyAlignment="1">
      <alignment horizontal="center"/>
    </xf>
    <xf numFmtId="0" fontId="26" fillId="0" borderId="36" xfId="0" applyFont="1" applyBorder="1"/>
    <xf numFmtId="0" fontId="32" fillId="0" borderId="35" xfId="0" applyFont="1" applyBorder="1"/>
    <xf numFmtId="3" fontId="36" fillId="0" borderId="5" xfId="0" applyNumberFormat="1" applyFont="1" applyBorder="1"/>
    <xf numFmtId="0" fontId="37" fillId="0" borderId="36" xfId="0" applyFont="1" applyBorder="1"/>
    <xf numFmtId="0" fontId="36" fillId="0" borderId="0" xfId="0" applyFont="1"/>
    <xf numFmtId="3" fontId="36" fillId="0" borderId="0" xfId="0" applyNumberFormat="1" applyFont="1"/>
    <xf numFmtId="0" fontId="37" fillId="0" borderId="37" xfId="0" applyFont="1" applyBorder="1"/>
    <xf numFmtId="167" fontId="37" fillId="0" borderId="5" xfId="0" applyNumberFormat="1" applyFont="1" applyBorder="1"/>
    <xf numFmtId="168" fontId="37" fillId="0" borderId="38" xfId="0" applyNumberFormat="1" applyFont="1" applyBorder="1"/>
    <xf numFmtId="167" fontId="37" fillId="0" borderId="0" xfId="0" applyNumberFormat="1" applyFont="1"/>
    <xf numFmtId="168" fontId="37" fillId="0" borderId="39" xfId="0" applyNumberFormat="1" applyFont="1" applyBorder="1"/>
    <xf numFmtId="165" fontId="36" fillId="0" borderId="0" xfId="0" applyNumberFormat="1" applyFont="1"/>
    <xf numFmtId="10" fontId="36" fillId="0" borderId="0" xfId="0" applyNumberFormat="1" applyFont="1"/>
    <xf numFmtId="9" fontId="36" fillId="0" borderId="0" xfId="0" applyNumberFormat="1" applyFont="1"/>
    <xf numFmtId="1" fontId="36" fillId="0" borderId="0" xfId="0" applyNumberFormat="1" applyFont="1"/>
    <xf numFmtId="169" fontId="36" fillId="0" borderId="0" xfId="0" applyNumberFormat="1" applyFont="1"/>
    <xf numFmtId="170" fontId="36" fillId="0" borderId="0" xfId="0" applyNumberFormat="1" applyFont="1"/>
    <xf numFmtId="0" fontId="37" fillId="0" borderId="40" xfId="0" applyFont="1" applyBorder="1"/>
    <xf numFmtId="167" fontId="37" fillId="0" borderId="4" xfId="0" applyNumberFormat="1" applyFont="1" applyBorder="1"/>
    <xf numFmtId="167" fontId="26" fillId="0" borderId="4" xfId="0" applyNumberFormat="1" applyFont="1" applyBorder="1"/>
    <xf numFmtId="168" fontId="37" fillId="0" borderId="41" xfId="0" applyNumberFormat="1" applyFont="1" applyBorder="1"/>
    <xf numFmtId="167" fontId="26" fillId="0" borderId="5" xfId="0" applyNumberFormat="1" applyFont="1" applyBorder="1"/>
    <xf numFmtId="0" fontId="26" fillId="0" borderId="42" xfId="0" applyFont="1" applyBorder="1"/>
    <xf numFmtId="168" fontId="26" fillId="0" borderId="43" xfId="0" applyNumberFormat="1" applyFont="1" applyBorder="1"/>
    <xf numFmtId="0" fontId="26" fillId="0" borderId="13" xfId="0" applyFont="1" applyBorder="1"/>
    <xf numFmtId="0" fontId="26" fillId="0" borderId="14" xfId="0" applyFont="1" applyBorder="1"/>
    <xf numFmtId="168" fontId="36" fillId="0" borderId="0" xfId="0" applyNumberFormat="1" applyFont="1"/>
    <xf numFmtId="0" fontId="38" fillId="4" borderId="0" xfId="0" applyFont="1" applyFill="1"/>
    <xf numFmtId="0" fontId="36" fillId="0" borderId="44" xfId="0" applyFont="1" applyBorder="1"/>
    <xf numFmtId="167" fontId="36" fillId="0" borderId="45" xfId="0" applyNumberFormat="1" applyFont="1" applyBorder="1"/>
    <xf numFmtId="168" fontId="37" fillId="0" borderId="46" xfId="0" applyNumberFormat="1" applyFont="1" applyBorder="1"/>
    <xf numFmtId="10" fontId="37" fillId="0" borderId="38" xfId="0" applyNumberFormat="1" applyFont="1" applyBorder="1"/>
    <xf numFmtId="10" fontId="37" fillId="0" borderId="39" xfId="0" applyNumberFormat="1" applyFont="1" applyBorder="1"/>
    <xf numFmtId="0" fontId="26" fillId="0" borderId="47" xfId="0" applyFont="1" applyBorder="1"/>
    <xf numFmtId="167" fontId="26" fillId="0" borderId="48" xfId="0" applyNumberFormat="1" applyFont="1" applyBorder="1"/>
    <xf numFmtId="10" fontId="37" fillId="0" borderId="49" xfId="0" applyNumberFormat="1" applyFont="1" applyBorder="1"/>
    <xf numFmtId="0" fontId="40" fillId="0" borderId="0" xfId="0" applyFont="1"/>
    <xf numFmtId="0" fontId="36" fillId="0" borderId="9" xfId="0" applyFont="1" applyBorder="1"/>
    <xf numFmtId="0" fontId="26" fillId="0" borderId="10" xfId="0" applyFont="1" applyBorder="1"/>
    <xf numFmtId="0" fontId="26" fillId="0" borderId="11" xfId="0" applyFont="1" applyBorder="1"/>
    <xf numFmtId="0" fontId="26" fillId="0" borderId="20" xfId="0" applyFont="1" applyBorder="1"/>
    <xf numFmtId="0" fontId="26" fillId="0" borderId="22" xfId="0" applyFont="1" applyBorder="1"/>
    <xf numFmtId="0" fontId="26" fillId="5" borderId="0" xfId="0" applyFont="1" applyFill="1"/>
    <xf numFmtId="9" fontId="26" fillId="0" borderId="0" xfId="0" applyNumberFormat="1" applyFont="1"/>
    <xf numFmtId="164" fontId="26" fillId="0" borderId="0" xfId="0" applyNumberFormat="1" applyFont="1"/>
    <xf numFmtId="171" fontId="26" fillId="0" borderId="0" xfId="0" applyNumberFormat="1" applyFont="1"/>
    <xf numFmtId="4" fontId="26" fillId="0" borderId="0" xfId="0" applyNumberFormat="1" applyFont="1"/>
    <xf numFmtId="4" fontId="26" fillId="5" borderId="0" xfId="0" applyNumberFormat="1" applyFont="1" applyFill="1"/>
    <xf numFmtId="2" fontId="26" fillId="5" borderId="0" xfId="0" applyNumberFormat="1" applyFont="1" applyFill="1"/>
    <xf numFmtId="0" fontId="37" fillId="0" borderId="50" xfId="0" applyFont="1" applyBorder="1"/>
    <xf numFmtId="2" fontId="26" fillId="0" borderId="10" xfId="0" applyNumberFormat="1" applyFont="1" applyBorder="1"/>
    <xf numFmtId="164" fontId="26" fillId="0" borderId="10" xfId="0" applyNumberFormat="1" applyFont="1" applyBorder="1"/>
    <xf numFmtId="167" fontId="41" fillId="0" borderId="0" xfId="0" applyNumberFormat="1" applyFont="1"/>
    <xf numFmtId="0" fontId="23" fillId="0" borderId="24" xfId="0" applyFont="1" applyBorder="1"/>
    <xf numFmtId="10" fontId="23" fillId="0" borderId="25" xfId="0" applyNumberFormat="1" applyFont="1" applyBorder="1"/>
    <xf numFmtId="0" fontId="23" fillId="0" borderId="7" xfId="0" applyFont="1" applyBorder="1"/>
    <xf numFmtId="0" fontId="23" fillId="0" borderId="8" xfId="0" applyFont="1" applyBorder="1"/>
    <xf numFmtId="0" fontId="23" fillId="0" borderId="0" xfId="0" applyFont="1"/>
    <xf numFmtId="4" fontId="23" fillId="0" borderId="0" xfId="0" applyNumberFormat="1" applyFont="1"/>
    <xf numFmtId="10" fontId="23" fillId="0" borderId="0" xfId="0" applyNumberFormat="1" applyFont="1"/>
    <xf numFmtId="172" fontId="23" fillId="0" borderId="0" xfId="0" applyNumberFormat="1" applyFont="1"/>
    <xf numFmtId="173" fontId="23" fillId="0" borderId="0" xfId="0" applyNumberFormat="1" applyFont="1"/>
    <xf numFmtId="4" fontId="42" fillId="4" borderId="0" xfId="0" applyNumberFormat="1" applyFont="1" applyFill="1"/>
    <xf numFmtId="174" fontId="23" fillId="0" borderId="0" xfId="0" applyNumberFormat="1" applyFont="1"/>
    <xf numFmtId="0" fontId="43" fillId="0" borderId="0" xfId="0" applyFont="1"/>
    <xf numFmtId="172" fontId="44" fillId="9" borderId="51" xfId="0" applyNumberFormat="1" applyFont="1" applyFill="1" applyBorder="1" applyAlignment="1">
      <alignment horizontal="center"/>
    </xf>
    <xf numFmtId="172" fontId="44" fillId="9" borderId="52" xfId="0" applyNumberFormat="1" applyFont="1" applyFill="1" applyBorder="1" applyAlignment="1">
      <alignment horizontal="center"/>
    </xf>
    <xf numFmtId="172" fontId="43" fillId="9" borderId="52" xfId="0" applyNumberFormat="1" applyFont="1" applyFill="1" applyBorder="1" applyAlignment="1">
      <alignment horizontal="center"/>
    </xf>
    <xf numFmtId="0" fontId="45" fillId="0" borderId="0" xfId="0" applyFont="1"/>
    <xf numFmtId="0" fontId="44" fillId="0" borderId="13" xfId="0" applyFont="1" applyBorder="1"/>
    <xf numFmtId="172" fontId="43" fillId="0" borderId="53" xfId="0" applyNumberFormat="1" applyFont="1" applyBorder="1"/>
    <xf numFmtId="170" fontId="46" fillId="10" borderId="54" xfId="0" applyNumberFormat="1" applyFont="1" applyFill="1" applyBorder="1"/>
    <xf numFmtId="0" fontId="47" fillId="0" borderId="0" xfId="0" applyFont="1"/>
    <xf numFmtId="0" fontId="44" fillId="0" borderId="0" xfId="0" applyFont="1"/>
    <xf numFmtId="172" fontId="43" fillId="0" borderId="0" xfId="0" applyNumberFormat="1" applyFont="1"/>
    <xf numFmtId="172" fontId="43" fillId="0" borderId="52" xfId="0" applyNumberFormat="1" applyFont="1" applyBorder="1" applyAlignment="1">
      <alignment horizontal="center"/>
    </xf>
    <xf numFmtId="172" fontId="43" fillId="0" borderId="55" xfId="0" applyNumberFormat="1" applyFont="1" applyBorder="1"/>
    <xf numFmtId="170" fontId="46" fillId="0" borderId="0" xfId="0" applyNumberFormat="1" applyFont="1"/>
    <xf numFmtId="0" fontId="48" fillId="0" borderId="0" xfId="0" applyFont="1"/>
    <xf numFmtId="175" fontId="43" fillId="0" borderId="0" xfId="0" applyNumberFormat="1" applyFont="1"/>
    <xf numFmtId="0" fontId="43" fillId="0" borderId="56" xfId="0" applyFont="1" applyBorder="1"/>
    <xf numFmtId="170" fontId="43" fillId="0" borderId="0" xfId="0" applyNumberFormat="1" applyFont="1"/>
    <xf numFmtId="170" fontId="45" fillId="0" borderId="0" xfId="0" applyNumberFormat="1" applyFont="1"/>
    <xf numFmtId="0" fontId="43" fillId="0" borderId="31" xfId="0" applyFont="1" applyBorder="1"/>
    <xf numFmtId="0" fontId="44" fillId="0" borderId="31" xfId="0" applyFont="1" applyBorder="1"/>
    <xf numFmtId="0" fontId="45" fillId="0" borderId="31" xfId="0" applyFont="1" applyBorder="1"/>
    <xf numFmtId="175" fontId="43" fillId="0" borderId="31" xfId="0" applyNumberFormat="1" applyFont="1" applyBorder="1"/>
    <xf numFmtId="0" fontId="43" fillId="0" borderId="57" xfId="0" applyFont="1" applyBorder="1"/>
    <xf numFmtId="0" fontId="43" fillId="0" borderId="4" xfId="0" applyFont="1" applyBorder="1"/>
    <xf numFmtId="0" fontId="44" fillId="0" borderId="4" xfId="0" applyFont="1" applyBorder="1"/>
    <xf numFmtId="0" fontId="45" fillId="0" borderId="4" xfId="0" applyFont="1" applyBorder="1"/>
    <xf numFmtId="175" fontId="43" fillId="0" borderId="4" xfId="0" applyNumberFormat="1" applyFont="1" applyBorder="1"/>
    <xf numFmtId="0" fontId="43" fillId="0" borderId="58" xfId="0" applyFont="1" applyBorder="1"/>
    <xf numFmtId="9" fontId="48" fillId="0" borderId="0" xfId="0" applyNumberFormat="1" applyFont="1"/>
    <xf numFmtId="9" fontId="43" fillId="0" borderId="0" xfId="0" applyNumberFormat="1" applyFont="1"/>
    <xf numFmtId="0" fontId="50" fillId="11" borderId="21" xfId="0" applyFont="1" applyFill="1" applyBorder="1"/>
    <xf numFmtId="175" fontId="50" fillId="11" borderId="21" xfId="0" applyNumberFormat="1" applyFont="1" applyFill="1" applyBorder="1"/>
    <xf numFmtId="0" fontId="50" fillId="11" borderId="59" xfId="0" applyFont="1" applyFill="1" applyBorder="1"/>
    <xf numFmtId="0" fontId="51" fillId="0" borderId="0" xfId="0" applyFont="1"/>
    <xf numFmtId="0" fontId="48" fillId="0" borderId="56" xfId="0" applyFont="1" applyBorder="1"/>
    <xf numFmtId="170" fontId="48" fillId="0" borderId="0" xfId="0" applyNumberFormat="1" applyFont="1"/>
    <xf numFmtId="176" fontId="48" fillId="0" borderId="0" xfId="0" applyNumberFormat="1" applyFont="1"/>
    <xf numFmtId="170" fontId="52" fillId="0" borderId="0" xfId="0" applyNumberFormat="1" applyFont="1"/>
    <xf numFmtId="0" fontId="44" fillId="0" borderId="9" xfId="0" applyFont="1" applyBorder="1"/>
    <xf numFmtId="0" fontId="44" fillId="0" borderId="10" xfId="0" applyFont="1" applyBorder="1"/>
    <xf numFmtId="170" fontId="44" fillId="0" borderId="11" xfId="0" applyNumberFormat="1" applyFont="1" applyBorder="1"/>
    <xf numFmtId="0" fontId="44" fillId="0" borderId="60" xfId="0" applyFont="1" applyBorder="1"/>
    <xf numFmtId="0" fontId="44" fillId="0" borderId="61" xfId="0" applyFont="1" applyBorder="1"/>
    <xf numFmtId="177" fontId="44" fillId="0" borderId="34" xfId="0" applyNumberFormat="1" applyFont="1" applyBorder="1"/>
    <xf numFmtId="0" fontId="53" fillId="0" borderId="0" xfId="0" applyFont="1"/>
    <xf numFmtId="170" fontId="52" fillId="10" borderId="62" xfId="0" applyNumberFormat="1" applyFont="1" applyFill="1" applyBorder="1"/>
    <xf numFmtId="170" fontId="43" fillId="0" borderId="5" xfId="0" applyNumberFormat="1" applyFont="1" applyBorder="1"/>
    <xf numFmtId="176" fontId="43" fillId="0" borderId="0" xfId="0" applyNumberFormat="1" applyFont="1"/>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54" fillId="0" borderId="0" xfId="0" applyFont="1" applyAlignment="1">
      <alignment horizontal="center" vertical="center" wrapText="1"/>
    </xf>
    <xf numFmtId="0" fontId="1" fillId="0" borderId="0" xfId="0" applyFont="1" applyAlignment="1">
      <alignment horizontal="center" vertical="center"/>
    </xf>
    <xf numFmtId="0" fontId="36" fillId="0" borderId="10" xfId="0" applyFont="1" applyBorder="1" applyAlignment="1">
      <alignment horizontal="center"/>
    </xf>
    <xf numFmtId="0" fontId="36" fillId="0" borderId="11" xfId="0" applyFont="1" applyBorder="1"/>
    <xf numFmtId="0" fontId="3" fillId="0" borderId="0" xfId="0" applyFont="1" applyAlignment="1">
      <alignment horizontal="center" vertical="center" wrapText="1"/>
    </xf>
    <xf numFmtId="164" fontId="26" fillId="0" borderId="0" xfId="0" applyNumberFormat="1" applyFont="1" applyAlignment="1">
      <alignment horizontal="center"/>
    </xf>
    <xf numFmtId="4" fontId="26" fillId="5" borderId="0" xfId="0" applyNumberFormat="1" applyFont="1" applyFill="1" applyAlignment="1">
      <alignment horizontal="center"/>
    </xf>
    <xf numFmtId="0" fontId="26" fillId="0" borderId="13" xfId="0" applyFont="1" applyBorder="1" applyAlignment="1">
      <alignment horizontal="left"/>
    </xf>
    <xf numFmtId="0" fontId="55" fillId="0" borderId="0" xfId="0" applyFont="1" applyAlignment="1">
      <alignment horizontal="center" vertical="center" wrapText="1"/>
    </xf>
    <xf numFmtId="0" fontId="37" fillId="0" borderId="42" xfId="0" applyFont="1" applyBorder="1"/>
    <xf numFmtId="4" fontId="37" fillId="0" borderId="43" xfId="0" applyNumberFormat="1" applyFont="1" applyBorder="1"/>
    <xf numFmtId="4" fontId="37" fillId="0" borderId="0" xfId="0" applyNumberFormat="1" applyFont="1"/>
    <xf numFmtId="10" fontId="37" fillId="5" borderId="0" xfId="0" applyNumberFormat="1" applyFont="1" applyFill="1"/>
    <xf numFmtId="4" fontId="37" fillId="0" borderId="39" xfId="0" applyNumberFormat="1" applyFont="1" applyBorder="1"/>
    <xf numFmtId="10" fontId="26" fillId="5" borderId="0" xfId="0" applyNumberFormat="1" applyFont="1" applyFill="1"/>
    <xf numFmtId="0" fontId="26" fillId="0" borderId="40" xfId="0" applyFont="1" applyBorder="1"/>
    <xf numFmtId="4" fontId="26" fillId="0" borderId="4" xfId="0" applyNumberFormat="1" applyFont="1" applyBorder="1"/>
    <xf numFmtId="10" fontId="26" fillId="5" borderId="4" xfId="0" applyNumberFormat="1" applyFont="1" applyFill="1" applyBorder="1"/>
    <xf numFmtId="4" fontId="26" fillId="0" borderId="41" xfId="0" applyNumberFormat="1" applyFont="1" applyBorder="1"/>
    <xf numFmtId="4" fontId="37" fillId="0" borderId="5" xfId="0" applyNumberFormat="1" applyFont="1" applyBorder="1"/>
    <xf numFmtId="10" fontId="37" fillId="5" borderId="5" xfId="0" applyNumberFormat="1" applyFont="1" applyFill="1" applyBorder="1"/>
    <xf numFmtId="4" fontId="37" fillId="0" borderId="38" xfId="0" applyNumberFormat="1" applyFont="1" applyBorder="1"/>
    <xf numFmtId="0" fontId="36" fillId="0" borderId="23" xfId="0" applyFont="1" applyBorder="1"/>
    <xf numFmtId="4" fontId="37" fillId="0" borderId="4" xfId="0" applyNumberFormat="1" applyFont="1" applyBorder="1"/>
    <xf numFmtId="10" fontId="37" fillId="5" borderId="4" xfId="0" applyNumberFormat="1" applyFont="1" applyFill="1" applyBorder="1"/>
    <xf numFmtId="4" fontId="37" fillId="0" borderId="41" xfId="0" applyNumberFormat="1" applyFont="1" applyBorder="1"/>
    <xf numFmtId="0" fontId="36" fillId="0" borderId="47" xfId="0" applyFont="1" applyBorder="1" applyAlignment="1">
      <alignment horizontal="center"/>
    </xf>
    <xf numFmtId="4" fontId="36" fillId="0" borderId="48" xfId="0" applyNumberFormat="1" applyFont="1" applyBorder="1" applyAlignment="1">
      <alignment horizontal="right"/>
    </xf>
    <xf numFmtId="10" fontId="36" fillId="0" borderId="48" xfId="0" applyNumberFormat="1" applyFont="1" applyBorder="1" applyAlignment="1">
      <alignment horizontal="right"/>
    </xf>
    <xf numFmtId="4" fontId="36" fillId="0" borderId="49" xfId="0" applyNumberFormat="1" applyFont="1" applyBorder="1" applyAlignment="1">
      <alignment horizontal="right"/>
    </xf>
    <xf numFmtId="0" fontId="18" fillId="0" borderId="0" xfId="0" applyFont="1" applyAlignment="1">
      <alignment horizontal="center" vertical="top"/>
    </xf>
    <xf numFmtId="0" fontId="56" fillId="0" borderId="0" xfId="0" applyFont="1"/>
    <xf numFmtId="0" fontId="57" fillId="0" borderId="0" xfId="0" applyFont="1" applyAlignment="1">
      <alignment horizontal="center" vertical="top"/>
    </xf>
    <xf numFmtId="0" fontId="23" fillId="0" borderId="0" xfId="0" applyFont="1" applyAlignment="1">
      <alignment horizontal="left"/>
    </xf>
    <xf numFmtId="0" fontId="23" fillId="0" borderId="6" xfId="0" applyFont="1" applyBorder="1"/>
    <xf numFmtId="0" fontId="23" fillId="0" borderId="7" xfId="0" applyFont="1" applyBorder="1" applyAlignment="1">
      <alignment horizontal="left"/>
    </xf>
    <xf numFmtId="0" fontId="23" fillId="0" borderId="63" xfId="0" applyFont="1" applyBorder="1"/>
    <xf numFmtId="0" fontId="23" fillId="0" borderId="5" xfId="0" applyFont="1" applyBorder="1"/>
    <xf numFmtId="0" fontId="23" fillId="0" borderId="38" xfId="0" applyFont="1" applyBorder="1"/>
    <xf numFmtId="0" fontId="38" fillId="0" borderId="0" xfId="0" applyFont="1"/>
    <xf numFmtId="0" fontId="38" fillId="0" borderId="0" xfId="0" applyFont="1" applyAlignment="1">
      <alignment horizontal="center"/>
    </xf>
    <xf numFmtId="167" fontId="38" fillId="0" borderId="0" xfId="0" applyNumberFormat="1" applyFont="1" applyAlignment="1">
      <alignment horizontal="center"/>
    </xf>
    <xf numFmtId="3" fontId="3" fillId="0" borderId="56" xfId="0" applyNumberFormat="1" applyFont="1" applyBorder="1" applyAlignment="1">
      <alignment horizontal="center"/>
    </xf>
    <xf numFmtId="3" fontId="3" fillId="0" borderId="58" xfId="0" applyNumberFormat="1" applyFont="1" applyBorder="1" applyAlignment="1">
      <alignment horizontal="center"/>
    </xf>
    <xf numFmtId="0" fontId="38" fillId="0" borderId="4" xfId="0" applyFont="1" applyBorder="1"/>
    <xf numFmtId="0" fontId="38" fillId="0" borderId="4" xfId="0" applyFont="1" applyBorder="1" applyAlignment="1">
      <alignment horizontal="center"/>
    </xf>
    <xf numFmtId="167" fontId="38" fillId="0" borderId="4" xfId="0" applyNumberFormat="1" applyFont="1" applyBorder="1" applyAlignment="1">
      <alignment horizontal="center"/>
    </xf>
    <xf numFmtId="0" fontId="58" fillId="0" borderId="0" xfId="0" applyFont="1" applyAlignment="1">
      <alignment horizontal="center" vertical="top"/>
    </xf>
    <xf numFmtId="9" fontId="59" fillId="0" borderId="0" xfId="0" applyNumberFormat="1" applyFont="1" applyAlignment="1">
      <alignment horizontal="center" vertical="top"/>
    </xf>
    <xf numFmtId="3" fontId="58" fillId="0" borderId="13" xfId="0" applyNumberFormat="1" applyFont="1" applyBorder="1" applyAlignment="1">
      <alignment horizontal="center" vertical="top"/>
    </xf>
    <xf numFmtId="0" fontId="6" fillId="12" borderId="51" xfId="0" applyFont="1" applyFill="1" applyBorder="1" applyAlignment="1">
      <alignment horizontal="center" vertical="center"/>
    </xf>
    <xf numFmtId="0" fontId="23" fillId="0" borderId="0" xfId="0" applyFont="1" applyAlignment="1">
      <alignment horizontal="center"/>
    </xf>
    <xf numFmtId="0" fontId="60" fillId="0" borderId="0" xfId="0" applyFont="1" applyAlignment="1">
      <alignment horizontal="center" vertical="center"/>
    </xf>
    <xf numFmtId="0" fontId="61" fillId="12" borderId="51" xfId="0" applyFont="1" applyFill="1" applyBorder="1" applyAlignment="1">
      <alignment horizontal="center" vertical="center" wrapText="1" readingOrder="1"/>
    </xf>
    <xf numFmtId="0" fontId="61" fillId="0" borderId="65" xfId="0" applyFont="1" applyBorder="1" applyAlignment="1">
      <alignment horizontal="center" vertical="center"/>
    </xf>
    <xf numFmtId="0" fontId="61" fillId="0" borderId="66" xfId="0" applyFont="1" applyBorder="1" applyAlignment="1">
      <alignment horizontal="center" vertical="center"/>
    </xf>
    <xf numFmtId="0" fontId="61" fillId="0" borderId="19" xfId="0" applyFont="1" applyBorder="1" applyAlignment="1">
      <alignment horizontal="center" vertical="center"/>
    </xf>
    <xf numFmtId="0" fontId="60" fillId="0" borderId="68" xfId="0" applyFont="1" applyBorder="1" applyAlignment="1">
      <alignment horizontal="center" vertical="center" wrapText="1"/>
    </xf>
    <xf numFmtId="0" fontId="61" fillId="0" borderId="69" xfId="0" applyFont="1" applyBorder="1" applyAlignment="1">
      <alignment horizontal="center" vertical="center" wrapText="1" readingOrder="1"/>
    </xf>
    <xf numFmtId="0" fontId="61" fillId="0" borderId="70" xfId="0" applyFont="1" applyBorder="1" applyAlignment="1">
      <alignment horizontal="center" vertical="center" wrapText="1" readingOrder="1"/>
    </xf>
    <xf numFmtId="0" fontId="60" fillId="0" borderId="71" xfId="0" applyFont="1" applyBorder="1" applyAlignment="1">
      <alignment horizontal="center" vertical="center"/>
    </xf>
    <xf numFmtId="0" fontId="60" fillId="0" borderId="72" xfId="0" applyFont="1" applyBorder="1" applyAlignment="1">
      <alignment horizontal="center" vertical="center"/>
    </xf>
    <xf numFmtId="0" fontId="60" fillId="0" borderId="73" xfId="0" applyFont="1" applyBorder="1" applyAlignment="1">
      <alignment horizontal="center" vertical="center"/>
    </xf>
    <xf numFmtId="0" fontId="61" fillId="0" borderId="65" xfId="0" applyFont="1" applyBorder="1" applyAlignment="1">
      <alignment horizontal="center" vertical="center" wrapText="1" readingOrder="1"/>
    </xf>
    <xf numFmtId="0" fontId="61" fillId="0" borderId="66" xfId="0" applyFont="1" applyBorder="1" applyAlignment="1">
      <alignment horizontal="center" vertical="center" wrapText="1" readingOrder="1"/>
    </xf>
    <xf numFmtId="0" fontId="61" fillId="0" borderId="19" xfId="0" applyFont="1" applyBorder="1" applyAlignment="1">
      <alignment horizontal="center" vertical="center" wrapText="1" readingOrder="1"/>
    </xf>
    <xf numFmtId="0" fontId="60" fillId="0" borderId="68" xfId="0" applyFont="1" applyBorder="1" applyAlignment="1">
      <alignment horizontal="center" vertical="center"/>
    </xf>
    <xf numFmtId="0" fontId="60" fillId="0" borderId="69" xfId="0" applyFont="1" applyBorder="1" applyAlignment="1">
      <alignment horizontal="center" vertical="center"/>
    </xf>
    <xf numFmtId="0" fontId="60" fillId="0" borderId="70" xfId="0" applyFont="1" applyBorder="1" applyAlignment="1">
      <alignment horizontal="center" vertical="center"/>
    </xf>
    <xf numFmtId="0" fontId="64" fillId="0" borderId="71" xfId="0" applyFont="1" applyBorder="1" applyAlignment="1">
      <alignment horizontal="center" vertical="center"/>
    </xf>
    <xf numFmtId="0" fontId="61" fillId="0" borderId="51" xfId="0" applyFont="1" applyBorder="1" applyAlignment="1">
      <alignment horizontal="center" vertical="center" wrapText="1" readingOrder="1"/>
    </xf>
    <xf numFmtId="0" fontId="61" fillId="0" borderId="52" xfId="0" applyFont="1" applyBorder="1" applyAlignment="1">
      <alignment horizontal="center" vertical="center" wrapText="1" readingOrder="1"/>
    </xf>
    <xf numFmtId="0" fontId="61" fillId="0" borderId="75" xfId="0" applyFont="1" applyBorder="1" applyAlignment="1">
      <alignment horizontal="center" vertical="center" wrapText="1" readingOrder="1"/>
    </xf>
    <xf numFmtId="178" fontId="60" fillId="0" borderId="69" xfId="0" applyNumberFormat="1" applyFont="1" applyBorder="1" applyAlignment="1">
      <alignment horizontal="center" vertical="center"/>
    </xf>
    <xf numFmtId="0" fontId="60" fillId="0" borderId="68" xfId="0" applyFont="1" applyBorder="1" applyAlignment="1">
      <alignment horizontal="center" vertical="center" wrapText="1" readingOrder="1"/>
    </xf>
    <xf numFmtId="0" fontId="60" fillId="0" borderId="69" xfId="0" applyFont="1" applyBorder="1" applyAlignment="1">
      <alignment horizontal="center" vertical="center" wrapText="1" readingOrder="1"/>
    </xf>
    <xf numFmtId="0" fontId="60" fillId="0" borderId="70" xfId="0" applyFont="1" applyBorder="1" applyAlignment="1">
      <alignment horizontal="center" vertical="center" wrapText="1" readingOrder="1"/>
    </xf>
    <xf numFmtId="0" fontId="60" fillId="0" borderId="65" xfId="0" applyFont="1" applyBorder="1" applyAlignment="1">
      <alignment horizontal="center" vertical="center"/>
    </xf>
    <xf numFmtId="0" fontId="66" fillId="0" borderId="69" xfId="0" applyFont="1" applyBorder="1" applyAlignment="1">
      <alignment horizontal="center"/>
    </xf>
    <xf numFmtId="0" fontId="68" fillId="0" borderId="68" xfId="0" applyFont="1" applyBorder="1"/>
    <xf numFmtId="0" fontId="69" fillId="0" borderId="69" xfId="0" applyFont="1" applyBorder="1"/>
    <xf numFmtId="4" fontId="68" fillId="0" borderId="70" xfId="0" applyNumberFormat="1" applyFont="1" applyBorder="1" applyAlignment="1">
      <alignment horizontal="right"/>
    </xf>
    <xf numFmtId="0" fontId="60" fillId="0" borderId="65" xfId="0" applyFont="1" applyBorder="1" applyAlignment="1">
      <alignment horizontal="center" vertical="center" wrapText="1" readingOrder="1"/>
    </xf>
    <xf numFmtId="0" fontId="60" fillId="0" borderId="66" xfId="0" applyFont="1" applyBorder="1" applyAlignment="1">
      <alignment horizontal="center" vertical="center" wrapText="1" readingOrder="1"/>
    </xf>
    <xf numFmtId="0" fontId="60" fillId="0" borderId="19" xfId="0" applyFont="1" applyBorder="1" applyAlignment="1">
      <alignment horizontal="center" vertical="center" wrapText="1" readingOrder="1"/>
    </xf>
    <xf numFmtId="0" fontId="9" fillId="0" borderId="65" xfId="0" applyFont="1" applyBorder="1"/>
    <xf numFmtId="0" fontId="69" fillId="0" borderId="66" xfId="0" applyFont="1" applyBorder="1"/>
    <xf numFmtId="4" fontId="68" fillId="0" borderId="19" xfId="0" applyNumberFormat="1" applyFont="1" applyBorder="1" applyAlignment="1">
      <alignment horizontal="right"/>
    </xf>
    <xf numFmtId="10" fontId="60" fillId="0" borderId="69" xfId="0" applyNumberFormat="1" applyFont="1" applyBorder="1" applyAlignment="1">
      <alignment horizontal="center" vertical="center"/>
    </xf>
    <xf numFmtId="0" fontId="61" fillId="0" borderId="68" xfId="0" applyFont="1" applyBorder="1" applyAlignment="1">
      <alignment horizontal="center" vertical="center" wrapText="1" readingOrder="1"/>
    </xf>
    <xf numFmtId="0" fontId="60" fillId="0" borderId="66" xfId="0" applyFont="1" applyBorder="1" applyAlignment="1">
      <alignment horizontal="center" vertical="center"/>
    </xf>
    <xf numFmtId="178" fontId="60" fillId="0" borderId="66" xfId="0" applyNumberFormat="1" applyFont="1" applyBorder="1" applyAlignment="1">
      <alignment horizontal="center" vertical="center"/>
    </xf>
    <xf numFmtId="0" fontId="60" fillId="0" borderId="0" xfId="0" applyFont="1" applyAlignment="1">
      <alignment horizontal="center" vertical="center" wrapText="1" readingOrder="1"/>
    </xf>
    <xf numFmtId="0" fontId="66" fillId="0" borderId="69" xfId="0" applyFont="1" applyBorder="1" applyAlignment="1">
      <alignment horizontal="center" wrapText="1"/>
    </xf>
    <xf numFmtId="10" fontId="60" fillId="0" borderId="0" xfId="0" applyNumberFormat="1" applyFont="1" applyAlignment="1">
      <alignment horizontal="center" vertical="center"/>
    </xf>
    <xf numFmtId="0" fontId="66" fillId="0" borderId="0" xfId="0" applyFont="1" applyAlignment="1">
      <alignment horizontal="center"/>
    </xf>
    <xf numFmtId="0" fontId="70" fillId="0" borderId="0" xfId="0" applyFont="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vertical="center"/>
    </xf>
    <xf numFmtId="0" fontId="16" fillId="2" borderId="9" xfId="0" applyFont="1" applyFill="1" applyBorder="1" applyAlignment="1">
      <alignment horizontal="center" vertical="center"/>
    </xf>
    <xf numFmtId="0" fontId="17" fillId="0" borderId="0" xfId="0" applyFont="1" applyAlignment="1">
      <alignment horizontal="left" vertical="top"/>
    </xf>
    <xf numFmtId="0" fontId="17" fillId="0" borderId="0" xfId="0" applyFont="1" applyAlignment="1">
      <alignment vertical="center" wrapText="1"/>
    </xf>
    <xf numFmtId="0" fontId="29" fillId="0" borderId="0" xfId="0" applyFont="1" applyAlignment="1">
      <alignment horizontal="center" vertical="center" wrapText="1"/>
    </xf>
    <xf numFmtId="0" fontId="1" fillId="2" borderId="9" xfId="0" applyFont="1" applyFill="1" applyBorder="1" applyAlignment="1">
      <alignment horizontal="center" vertical="center"/>
    </xf>
    <xf numFmtId="0" fontId="24" fillId="0" borderId="9" xfId="0" applyFont="1" applyBorder="1" applyAlignment="1">
      <alignment horizontal="center"/>
    </xf>
    <xf numFmtId="0" fontId="20" fillId="0" borderId="9" xfId="0" applyFont="1" applyBorder="1" applyAlignment="1">
      <alignment horizontal="left" vertical="top" wrapText="1"/>
    </xf>
    <xf numFmtId="0" fontId="24" fillId="0" borderId="10" xfId="0" applyFont="1" applyBorder="1" applyAlignment="1">
      <alignment horizontal="center"/>
    </xf>
    <xf numFmtId="0" fontId="35" fillId="0" borderId="9" xfId="0" applyFont="1" applyBorder="1" applyAlignment="1">
      <alignment horizontal="left"/>
    </xf>
    <xf numFmtId="4" fontId="35" fillId="0" borderId="10" xfId="0" applyNumberFormat="1" applyFont="1" applyBorder="1" applyAlignment="1">
      <alignment horizontal="left"/>
    </xf>
    <xf numFmtId="0" fontId="17" fillId="6" borderId="28" xfId="0" applyFont="1" applyFill="1" applyBorder="1" applyAlignment="1">
      <alignment horizontal="center" vertical="center"/>
    </xf>
    <xf numFmtId="0" fontId="39" fillId="6" borderId="28" xfId="0" applyFont="1" applyFill="1" applyBorder="1" applyAlignment="1">
      <alignment horizontal="center" vertical="center"/>
    </xf>
    <xf numFmtId="0" fontId="44" fillId="0" borderId="13" xfId="0" applyFont="1" applyBorder="1" applyAlignment="1">
      <alignment horizontal="left"/>
    </xf>
    <xf numFmtId="0" fontId="3" fillId="0" borderId="0" xfId="0" applyFont="1" applyAlignment="1">
      <alignment horizontal="center" vertical="center" wrapText="1"/>
    </xf>
    <xf numFmtId="0" fontId="6" fillId="12" borderId="64" xfId="0" applyFont="1" applyFill="1" applyBorder="1" applyAlignment="1">
      <alignment horizontal="center" vertical="center"/>
    </xf>
    <xf numFmtId="0" fontId="61" fillId="0" borderId="20" xfId="0" applyFont="1" applyBorder="1" applyAlignment="1">
      <alignment horizontal="center" vertical="center"/>
    </xf>
    <xf numFmtId="0" fontId="62" fillId="12" borderId="9" xfId="0" applyFont="1" applyFill="1" applyBorder="1" applyAlignment="1">
      <alignment horizontal="center" vertical="center"/>
    </xf>
    <xf numFmtId="0" fontId="63" fillId="0" borderId="9" xfId="0" applyFont="1" applyBorder="1" applyAlignment="1">
      <alignment horizontal="center" vertical="center" wrapText="1"/>
    </xf>
    <xf numFmtId="0" fontId="6" fillId="12" borderId="57" xfId="0" applyFont="1" applyFill="1" applyBorder="1" applyAlignment="1">
      <alignment horizontal="center" vertical="center"/>
    </xf>
    <xf numFmtId="0" fontId="60" fillId="0" borderId="76" xfId="0" applyFont="1" applyBorder="1" applyAlignment="1">
      <alignment horizontal="center" vertical="center"/>
    </xf>
    <xf numFmtId="0" fontId="61" fillId="0" borderId="67" xfId="0" applyFont="1" applyBorder="1" applyAlignment="1">
      <alignment horizontal="center" vertical="center"/>
    </xf>
    <xf numFmtId="0" fontId="23" fillId="0" borderId="9" xfId="0" applyFont="1" applyBorder="1" applyAlignment="1">
      <alignment horizontal="center"/>
    </xf>
    <xf numFmtId="0" fontId="65" fillId="0" borderId="63" xfId="0" applyFont="1" applyBorder="1" applyAlignment="1">
      <alignment horizontal="center" vertical="center"/>
    </xf>
    <xf numFmtId="0" fontId="23" fillId="0" borderId="35" xfId="0" applyFont="1" applyBorder="1" applyAlignment="1">
      <alignment horizontal="center"/>
    </xf>
    <xf numFmtId="0" fontId="6" fillId="4" borderId="0" xfId="0" applyFont="1" applyFill="1" applyAlignment="1">
      <alignment horizontal="center" vertical="center"/>
    </xf>
    <xf numFmtId="0" fontId="23" fillId="0" borderId="0" xfId="0" applyFont="1" applyAlignment="1">
      <alignment horizontal="center"/>
    </xf>
    <xf numFmtId="0" fontId="60" fillId="0" borderId="0" xfId="0" applyFont="1" applyAlignment="1">
      <alignment horizontal="center" vertical="center"/>
    </xf>
    <xf numFmtId="0" fontId="61" fillId="12" borderId="57" xfId="0" applyFont="1" applyFill="1" applyBorder="1" applyAlignment="1">
      <alignment horizontal="center" vertical="center" wrapText="1" readingOrder="1"/>
    </xf>
    <xf numFmtId="0" fontId="65" fillId="0" borderId="9" xfId="0" applyFont="1" applyBorder="1" applyAlignment="1">
      <alignment horizontal="center" vertical="center"/>
    </xf>
    <xf numFmtId="0" fontId="60" fillId="0" borderId="63" xfId="0" applyFont="1" applyBorder="1" applyAlignment="1">
      <alignment horizontal="center" vertical="center"/>
    </xf>
    <xf numFmtId="0" fontId="60" fillId="0" borderId="0" xfId="0" applyFont="1" applyAlignment="1">
      <alignment horizontal="center" vertical="center" wrapText="1" readingOrder="1"/>
    </xf>
    <xf numFmtId="0" fontId="0" fillId="0" borderId="78" xfId="0" pivotButton="1" applyBorder="1"/>
    <xf numFmtId="0" fontId="0" fillId="0" borderId="79" xfId="0" applyBorder="1"/>
    <xf numFmtId="0" fontId="0" fillId="0" borderId="78" xfId="0" applyBorder="1"/>
    <xf numFmtId="0" fontId="0" fillId="0" borderId="80" xfId="0" applyBorder="1"/>
    <xf numFmtId="0" fontId="0" fillId="0" borderId="79" xfId="0" applyNumberFormat="1" applyBorder="1"/>
    <xf numFmtId="0" fontId="0" fillId="0" borderId="81" xfId="0" applyBorder="1"/>
    <xf numFmtId="0" fontId="0" fillId="0" borderId="82" xfId="0" applyBorder="1"/>
    <xf numFmtId="0" fontId="0" fillId="0" borderId="83" xfId="0" applyNumberFormat="1" applyBorder="1"/>
    <xf numFmtId="0" fontId="2" fillId="0" borderId="2" xfId="0" applyFont="1" applyBorder="1" applyAlignment="1"/>
    <xf numFmtId="0" fontId="2" fillId="0" borderId="3" xfId="0" applyFont="1" applyBorder="1" applyAlignment="1"/>
    <xf numFmtId="0" fontId="2" fillId="0" borderId="28" xfId="0" applyFont="1" applyBorder="1" applyAlignment="1"/>
    <xf numFmtId="0" fontId="0" fillId="0" borderId="0" xfId="0" applyAlignment="1"/>
    <xf numFmtId="0" fontId="2" fillId="0" borderId="29" xfId="0" applyFont="1" applyBorder="1" applyAlignment="1"/>
    <xf numFmtId="0" fontId="3" fillId="0" borderId="28" xfId="0" applyFont="1" applyBorder="1"/>
    <xf numFmtId="0" fontId="3" fillId="0" borderId="29" xfId="0" applyFont="1" applyBorder="1"/>
    <xf numFmtId="0" fontId="5" fillId="0" borderId="28" xfId="0" applyFont="1" applyBorder="1"/>
    <xf numFmtId="0" fontId="3" fillId="0" borderId="29" xfId="0" applyFont="1" applyBorder="1" applyAlignment="1">
      <alignment horizontal="left"/>
    </xf>
    <xf numFmtId="0" fontId="0" fillId="0" borderId="29" xfId="0" applyBorder="1"/>
    <xf numFmtId="0" fontId="3" fillId="0" borderId="28" xfId="0" applyFont="1" applyBorder="1" applyAlignment="1">
      <alignment wrapText="1"/>
    </xf>
    <xf numFmtId="0" fontId="5" fillId="3" borderId="17" xfId="0" applyFont="1" applyFill="1" applyBorder="1" applyAlignment="1">
      <alignment horizontal="left" vertical="center" wrapText="1"/>
    </xf>
    <xf numFmtId="0" fontId="6" fillId="3" borderId="17" xfId="0" applyFont="1" applyFill="1" applyBorder="1" applyAlignment="1">
      <alignment horizontal="center" vertical="center" wrapText="1"/>
    </xf>
    <xf numFmtId="0" fontId="3" fillId="0" borderId="29" xfId="0" applyFont="1" applyBorder="1" applyAlignment="1">
      <alignment wrapText="1"/>
    </xf>
    <xf numFmtId="0" fontId="9" fillId="0" borderId="29" xfId="0" applyFont="1" applyBorder="1"/>
    <xf numFmtId="0" fontId="7" fillId="4" borderId="21" xfId="0" applyFont="1" applyFill="1" applyBorder="1" applyAlignment="1">
      <alignment horizontal="left" vertical="center" wrapText="1"/>
    </xf>
    <xf numFmtId="0" fontId="8" fillId="4" borderId="21" xfId="0" applyFont="1" applyFill="1" applyBorder="1" applyAlignment="1">
      <alignment horizontal="left" vertical="top" wrapText="1"/>
    </xf>
    <xf numFmtId="0" fontId="10" fillId="0" borderId="21" xfId="0" applyFont="1" applyBorder="1" applyAlignment="1">
      <alignment horizontal="left" vertical="top" wrapText="1"/>
    </xf>
    <xf numFmtId="0" fontId="12" fillId="0" borderId="28" xfId="0" applyFont="1" applyBorder="1"/>
    <xf numFmtId="0" fontId="0" fillId="0" borderId="28" xfId="0" applyBorder="1"/>
    <xf numFmtId="0" fontId="2" fillId="0" borderId="10" xfId="0" applyFont="1" applyBorder="1" applyAlignment="1"/>
    <xf numFmtId="0" fontId="2" fillId="0" borderId="11" xfId="0" applyFont="1" applyBorder="1" applyAlignment="1"/>
    <xf numFmtId="0" fontId="2" fillId="0" borderId="26" xfId="0" applyFont="1" applyBorder="1" applyAlignment="1"/>
    <xf numFmtId="0" fontId="2" fillId="0" borderId="12" xfId="0" applyFont="1" applyBorder="1" applyAlignment="1"/>
    <xf numFmtId="0" fontId="2" fillId="0" borderId="27" xfId="0" applyFont="1" applyBorder="1" applyAlignment="1"/>
    <xf numFmtId="0" fontId="3" fillId="0" borderId="26" xfId="0" applyFont="1" applyBorder="1"/>
    <xf numFmtId="0" fontId="3" fillId="0" borderId="12" xfId="0" applyFont="1" applyBorder="1"/>
    <xf numFmtId="0" fontId="3" fillId="0" borderId="12" xfId="0" applyFont="1" applyBorder="1" applyAlignment="1">
      <alignment vertical="center" wrapText="1"/>
    </xf>
    <xf numFmtId="0" fontId="18" fillId="0" borderId="26" xfId="0" applyFont="1" applyBorder="1" applyAlignment="1">
      <alignment horizontal="left" vertical="center" wrapText="1"/>
    </xf>
    <xf numFmtId="0" fontId="3" fillId="0" borderId="26" xfId="0" applyFont="1" applyBorder="1" applyAlignment="1">
      <alignment vertical="center" wrapText="1"/>
    </xf>
    <xf numFmtId="0" fontId="19" fillId="0" borderId="12" xfId="0" applyFont="1" applyBorder="1" applyAlignment="1">
      <alignment vertical="center" wrapText="1"/>
    </xf>
    <xf numFmtId="0" fontId="17" fillId="6" borderId="26" xfId="0" applyFont="1" applyFill="1" applyBorder="1" applyAlignment="1">
      <alignment horizontal="center" vertical="center"/>
    </xf>
    <xf numFmtId="0" fontId="20" fillId="0" borderId="26" xfId="0" applyFont="1" applyBorder="1" applyAlignment="1">
      <alignment horizontal="left" vertical="center" wrapText="1"/>
    </xf>
    <xf numFmtId="0" fontId="3" fillId="0" borderId="12" xfId="0" applyFont="1" applyBorder="1" applyAlignment="1">
      <alignment horizontal="left" vertical="center"/>
    </xf>
    <xf numFmtId="0" fontId="21" fillId="6" borderId="26" xfId="0" applyFont="1" applyFill="1" applyBorder="1" applyAlignment="1">
      <alignment horizontal="center" vertical="center"/>
    </xf>
    <xf numFmtId="0" fontId="3" fillId="0" borderId="26" xfId="0" applyFont="1" applyBorder="1" applyAlignment="1"/>
    <xf numFmtId="0" fontId="2" fillId="0" borderId="13" xfId="0" applyFont="1" applyBorder="1" applyAlignment="1"/>
    <xf numFmtId="0" fontId="2" fillId="0" borderId="17" xfId="0" applyFont="1" applyBorder="1" applyAlignment="1"/>
    <xf numFmtId="0" fontId="2" fillId="0" borderId="14" xfId="0" applyFont="1" applyBorder="1" applyAlignment="1"/>
    <xf numFmtId="0" fontId="23" fillId="0" borderId="12" xfId="0" applyFont="1" applyBorder="1"/>
    <xf numFmtId="0" fontId="24" fillId="0" borderId="26" xfId="0" applyFont="1" applyBorder="1" applyAlignment="1">
      <alignment horizontal="center"/>
    </xf>
    <xf numFmtId="0" fontId="12" fillId="0" borderId="26" xfId="0" applyFont="1" applyBorder="1" applyAlignment="1">
      <alignment horizontal="center"/>
    </xf>
    <xf numFmtId="0" fontId="11" fillId="0" borderId="12" xfId="0" applyFont="1" applyBorder="1"/>
    <xf numFmtId="0" fontId="25" fillId="0" borderId="26" xfId="0" applyFont="1" applyBorder="1"/>
    <xf numFmtId="0" fontId="25" fillId="5" borderId="27" xfId="0" applyFont="1" applyFill="1" applyBorder="1" applyAlignment="1">
      <alignment horizontal="center"/>
    </xf>
    <xf numFmtId="164" fontId="3" fillId="7" borderId="27" xfId="0" applyNumberFormat="1" applyFont="1" applyFill="1" applyBorder="1"/>
    <xf numFmtId="49" fontId="3" fillId="3" borderId="27" xfId="0" applyNumberFormat="1" applyFont="1" applyFill="1" applyBorder="1"/>
    <xf numFmtId="164" fontId="3" fillId="3" borderId="27" xfId="0" applyNumberFormat="1" applyFont="1" applyFill="1" applyBorder="1"/>
    <xf numFmtId="164" fontId="26" fillId="8" borderId="12" xfId="0" applyNumberFormat="1" applyFont="1" applyFill="1" applyBorder="1" applyAlignment="1">
      <alignment horizontal="center"/>
    </xf>
    <xf numFmtId="0" fontId="27" fillId="0" borderId="26" xfId="0" applyFont="1" applyBorder="1" applyAlignment="1">
      <alignment horizontal="center"/>
    </xf>
    <xf numFmtId="0" fontId="11" fillId="0" borderId="26" xfId="0" applyFont="1" applyBorder="1" applyAlignment="1">
      <alignment horizontal="left"/>
    </xf>
    <xf numFmtId="0" fontId="28" fillId="0" borderId="26" xfId="0" applyFont="1" applyBorder="1" applyAlignment="1">
      <alignment horizontal="center" vertical="center" wrapText="1"/>
    </xf>
    <xf numFmtId="0" fontId="29" fillId="0" borderId="12" xfId="0" applyFont="1" applyBorder="1" applyAlignment="1">
      <alignment horizontal="center" vertical="center" wrapText="1"/>
    </xf>
    <xf numFmtId="0" fontId="3" fillId="0" borderId="21" xfId="0" applyFont="1" applyBorder="1"/>
    <xf numFmtId="0" fontId="25" fillId="0" borderId="21" xfId="0" applyFont="1" applyBorder="1"/>
    <xf numFmtId="4" fontId="3" fillId="5" borderId="27" xfId="0" applyNumberFormat="1" applyFont="1" applyFill="1" applyBorder="1"/>
    <xf numFmtId="164" fontId="3" fillId="0" borderId="12" xfId="0" applyNumberFormat="1" applyFont="1" applyBorder="1"/>
    <xf numFmtId="164" fontId="11" fillId="0" borderId="26" xfId="0" applyNumberFormat="1" applyFont="1" applyBorder="1" applyAlignment="1">
      <alignment vertical="top" wrapText="1"/>
    </xf>
    <xf numFmtId="0" fontId="11" fillId="0" borderId="17" xfId="0" applyFont="1" applyBorder="1"/>
    <xf numFmtId="0" fontId="25" fillId="0" borderId="17" xfId="0" applyFont="1" applyBorder="1"/>
    <xf numFmtId="165" fontId="3" fillId="7" borderId="27" xfId="0" applyNumberFormat="1" applyFont="1" applyFill="1" applyBorder="1"/>
    <xf numFmtId="166" fontId="11" fillId="0" borderId="26" xfId="0" applyNumberFormat="1" applyFont="1" applyBorder="1" applyAlignment="1">
      <alignment horizontal="center"/>
    </xf>
    <xf numFmtId="166" fontId="30" fillId="0" borderId="26" xfId="0" applyNumberFormat="1" applyFont="1" applyBorder="1" applyAlignment="1">
      <alignment horizontal="center"/>
    </xf>
    <xf numFmtId="164" fontId="26" fillId="0" borderId="12" xfId="0" applyNumberFormat="1" applyFont="1" applyBorder="1"/>
    <xf numFmtId="4" fontId="11" fillId="0" borderId="26" xfId="0" applyNumberFormat="1" applyFont="1" applyBorder="1" applyAlignment="1">
      <alignment horizontal="center"/>
    </xf>
    <xf numFmtId="4" fontId="3" fillId="0" borderId="27" xfId="0" applyNumberFormat="1" applyFont="1" applyBorder="1"/>
    <xf numFmtId="164" fontId="3" fillId="0" borderId="27" xfId="0" applyNumberFormat="1" applyFont="1" applyBorder="1"/>
    <xf numFmtId="164" fontId="26" fillId="0" borderId="27" xfId="0" applyNumberFormat="1" applyFont="1" applyBorder="1"/>
    <xf numFmtId="164" fontId="11" fillId="7" borderId="27" xfId="0" applyNumberFormat="1" applyFont="1" applyFill="1" applyBorder="1"/>
    <xf numFmtId="4" fontId="11" fillId="5" borderId="27" xfId="0" applyNumberFormat="1" applyFont="1" applyFill="1" applyBorder="1"/>
    <xf numFmtId="164" fontId="11" fillId="0" borderId="12" xfId="0" applyNumberFormat="1" applyFont="1" applyBorder="1"/>
    <xf numFmtId="0" fontId="11" fillId="0" borderId="26" xfId="0" applyFont="1" applyBorder="1" applyAlignment="1">
      <alignment horizontal="center"/>
    </xf>
    <xf numFmtId="0" fontId="3" fillId="0" borderId="17" xfId="0" applyFont="1" applyBorder="1"/>
    <xf numFmtId="0" fontId="10" fillId="0" borderId="26" xfId="0" applyFont="1" applyBorder="1"/>
    <xf numFmtId="0" fontId="3" fillId="5" borderId="27" xfId="0" applyFont="1" applyFill="1" applyBorder="1"/>
    <xf numFmtId="164" fontId="3" fillId="4" borderId="27" xfId="0" applyNumberFormat="1" applyFont="1" applyFill="1" applyBorder="1"/>
    <xf numFmtId="0" fontId="6" fillId="0" borderId="0" xfId="0" applyFont="1"/>
    <xf numFmtId="0" fontId="26" fillId="0" borderId="17" xfId="0" applyFont="1" applyBorder="1"/>
    <xf numFmtId="0" fontId="36" fillId="0" borderId="28" xfId="0" applyFont="1" applyBorder="1"/>
    <xf numFmtId="0" fontId="32" fillId="0" borderId="26" xfId="0" applyFont="1" applyBorder="1"/>
    <xf numFmtId="0" fontId="37" fillId="0" borderId="12" xfId="0" applyFont="1" applyBorder="1"/>
    <xf numFmtId="0" fontId="26" fillId="0" borderId="26" xfId="0" applyFont="1" applyBorder="1"/>
    <xf numFmtId="0" fontId="37" fillId="0" borderId="28" xfId="0" applyFont="1" applyBorder="1"/>
    <xf numFmtId="0" fontId="26" fillId="0" borderId="12" xfId="0" applyFont="1" applyBorder="1"/>
    <xf numFmtId="167" fontId="26" fillId="0" borderId="21" xfId="0" applyNumberFormat="1" applyFont="1" applyBorder="1"/>
    <xf numFmtId="9" fontId="36" fillId="0" borderId="17" xfId="0" applyNumberFormat="1" applyFont="1" applyBorder="1"/>
    <xf numFmtId="0" fontId="26" fillId="0" borderId="28" xfId="0" applyFont="1" applyBorder="1"/>
    <xf numFmtId="0" fontId="23" fillId="0" borderId="28" xfId="0" applyFont="1" applyBorder="1"/>
    <xf numFmtId="0" fontId="23" fillId="0" borderId="29" xfId="0" applyFont="1" applyBorder="1"/>
    <xf numFmtId="0" fontId="26" fillId="0" borderId="21" xfId="0" applyFont="1" applyBorder="1"/>
    <xf numFmtId="0" fontId="37" fillId="0" borderId="26" xfId="0" applyFont="1" applyBorder="1"/>
    <xf numFmtId="164" fontId="26" fillId="0" borderId="17" xfId="0" applyNumberFormat="1" applyFont="1" applyBorder="1"/>
    <xf numFmtId="0" fontId="9" fillId="0" borderId="23" xfId="0" applyFont="1" applyBorder="1"/>
    <xf numFmtId="170" fontId="43" fillId="0" borderId="17" xfId="0" applyNumberFormat="1" applyFont="1" applyBorder="1"/>
    <xf numFmtId="0" fontId="43" fillId="0" borderId="21" xfId="0" applyFont="1" applyBorder="1"/>
    <xf numFmtId="0" fontId="44" fillId="0" borderId="21" xfId="0" applyFont="1" applyBorder="1"/>
    <xf numFmtId="0" fontId="45" fillId="0" borderId="21" xfId="0" applyFont="1" applyBorder="1"/>
    <xf numFmtId="175" fontId="43" fillId="0" borderId="21" xfId="0" applyNumberFormat="1" applyFont="1" applyBorder="1"/>
    <xf numFmtId="0" fontId="43" fillId="0" borderId="59" xfId="0" applyFont="1" applyBorder="1"/>
    <xf numFmtId="170" fontId="43" fillId="0" borderId="21" xfId="0" applyNumberFormat="1" applyFont="1" applyBorder="1"/>
    <xf numFmtId="0" fontId="43" fillId="0" borderId="17" xfId="0" applyFont="1" applyBorder="1"/>
    <xf numFmtId="0" fontId="47" fillId="0" borderId="17" xfId="0" applyFont="1" applyBorder="1"/>
    <xf numFmtId="0" fontId="49" fillId="0" borderId="17" xfId="0" applyFont="1" applyBorder="1"/>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26" fillId="0" borderId="26" xfId="0" applyFont="1" applyBorder="1" applyAlignment="1">
      <alignment horizontal="left"/>
    </xf>
    <xf numFmtId="4" fontId="26" fillId="0" borderId="12" xfId="0" applyNumberFormat="1" applyFont="1" applyBorder="1" applyAlignment="1">
      <alignment horizontal="center"/>
    </xf>
    <xf numFmtId="4" fontId="36" fillId="0" borderId="12" xfId="0" applyNumberFormat="1" applyFont="1" applyBorder="1" applyAlignment="1">
      <alignment horizontal="center"/>
    </xf>
    <xf numFmtId="4" fontId="26" fillId="5" borderId="17" xfId="0" applyNumberFormat="1" applyFont="1" applyFill="1" applyBorder="1" applyAlignment="1">
      <alignment horizontal="center"/>
    </xf>
    <xf numFmtId="4" fontId="3" fillId="0" borderId="14" xfId="0" applyNumberFormat="1" applyFont="1" applyBorder="1" applyAlignment="1">
      <alignment horizontal="center"/>
    </xf>
    <xf numFmtId="0" fontId="3" fillId="0" borderId="28" xfId="0" applyFont="1" applyBorder="1" applyAlignment="1">
      <alignment horizontal="center"/>
    </xf>
    <xf numFmtId="0" fontId="5" fillId="0" borderId="0" xfId="0" applyFont="1" applyAlignment="1">
      <alignment horizontal="center" vertical="center" wrapText="1"/>
    </xf>
    <xf numFmtId="0" fontId="5" fillId="0" borderId="28" xfId="0" applyFont="1" applyBorder="1" applyAlignment="1">
      <alignment horizontal="center" vertical="center" wrapText="1"/>
    </xf>
    <xf numFmtId="0" fontId="3" fillId="0" borderId="0" xfId="0" applyFont="1" applyAlignment="1">
      <alignment horizontal="center"/>
    </xf>
    <xf numFmtId="164" fontId="37" fillId="0" borderId="21" xfId="0" applyNumberFormat="1" applyFont="1" applyBorder="1"/>
    <xf numFmtId="0" fontId="37" fillId="0" borderId="21" xfId="0" applyFont="1" applyBorder="1"/>
    <xf numFmtId="0" fontId="26" fillId="0" borderId="42" xfId="0" applyFont="1" applyBorder="1" applyAlignment="1"/>
    <xf numFmtId="0" fontId="2" fillId="0" borderId="21" xfId="0" applyFont="1" applyBorder="1" applyAlignment="1"/>
    <xf numFmtId="0" fontId="2" fillId="0" borderId="43" xfId="0" applyFont="1" applyBorder="1" applyAlignment="1"/>
    <xf numFmtId="0" fontId="26" fillId="0" borderId="37" xfId="0" applyFont="1" applyBorder="1" applyAlignment="1"/>
    <xf numFmtId="0" fontId="2" fillId="0" borderId="5" xfId="0" applyFont="1" applyBorder="1" applyAlignment="1"/>
    <xf numFmtId="0" fontId="2" fillId="0" borderId="38" xfId="0" applyFont="1" applyBorder="1" applyAlignment="1"/>
    <xf numFmtId="0" fontId="13" fillId="0" borderId="0" xfId="0" applyFont="1" applyAlignment="1">
      <alignment horizontal="left"/>
    </xf>
    <xf numFmtId="0" fontId="3" fillId="0" borderId="0" xfId="0" applyFont="1" applyAlignment="1">
      <alignment horizontal="center" vertical="center"/>
    </xf>
    <xf numFmtId="0" fontId="13" fillId="0" borderId="0" xfId="0" applyFont="1" applyAlignment="1">
      <alignment horizontal="left" vertical="center"/>
    </xf>
    <xf numFmtId="0" fontId="26" fillId="0" borderId="24" xfId="0" applyFont="1" applyBorder="1" applyAlignment="1"/>
    <xf numFmtId="0" fontId="2" fillId="0" borderId="25" xfId="0" applyFont="1" applyBorder="1" applyAlignment="1"/>
    <xf numFmtId="0" fontId="3" fillId="0" borderId="56" xfId="0" applyFont="1" applyBorder="1"/>
    <xf numFmtId="0" fontId="3" fillId="0" borderId="39" xfId="0" applyFont="1" applyBorder="1"/>
    <xf numFmtId="0" fontId="3" fillId="0" borderId="56" xfId="0" applyFont="1" applyBorder="1" applyAlignment="1">
      <alignment horizontal="center"/>
    </xf>
    <xf numFmtId="167" fontId="3" fillId="0" borderId="0" xfId="0" applyNumberFormat="1" applyFont="1" applyAlignment="1">
      <alignment horizontal="center"/>
    </xf>
    <xf numFmtId="167" fontId="3" fillId="0" borderId="4" xfId="0" applyNumberFormat="1" applyFont="1" applyBorder="1" applyAlignment="1">
      <alignment horizontal="center"/>
    </xf>
    <xf numFmtId="0" fontId="3" fillId="0" borderId="4" xfId="0" applyFont="1" applyBorder="1"/>
    <xf numFmtId="0" fontId="3" fillId="0" borderId="4" xfId="0" applyFont="1" applyBorder="1" applyAlignment="1">
      <alignment horizontal="center"/>
    </xf>
    <xf numFmtId="0" fontId="3" fillId="0" borderId="4" xfId="0" applyFont="1" applyBorder="1" applyAlignment="1">
      <alignment horizontal="center" vertical="center"/>
    </xf>
    <xf numFmtId="0" fontId="3" fillId="0" borderId="41" xfId="0" applyFont="1" applyBorder="1"/>
    <xf numFmtId="0" fontId="3" fillId="0" borderId="0" xfId="0" applyFont="1" applyAlignment="1">
      <alignment horizontal="center" vertical="top"/>
    </xf>
    <xf numFmtId="0" fontId="3" fillId="0" borderId="9" xfId="0" applyFont="1" applyBorder="1"/>
    <xf numFmtId="10" fontId="3" fillId="0" borderId="10" xfId="0" applyNumberFormat="1" applyFont="1" applyBorder="1" applyAlignment="1">
      <alignment vertical="top"/>
    </xf>
    <xf numFmtId="10" fontId="3" fillId="0" borderId="10" xfId="0" applyNumberFormat="1" applyFont="1" applyBorder="1" applyAlignment="1">
      <alignment horizontal="center" vertical="top"/>
    </xf>
    <xf numFmtId="10" fontId="3" fillId="0" borderId="11" xfId="0" applyNumberFormat="1" applyFont="1" applyBorder="1" applyAlignment="1">
      <alignment horizontal="center" vertical="top"/>
    </xf>
    <xf numFmtId="0" fontId="5" fillId="0" borderId="26" xfId="0" applyFont="1" applyBorder="1" applyAlignment="1">
      <alignment horizontal="center"/>
    </xf>
    <xf numFmtId="0" fontId="5" fillId="0" borderId="12" xfId="0" applyFont="1" applyBorder="1"/>
    <xf numFmtId="0" fontId="58" fillId="0" borderId="26" xfId="0" applyFont="1" applyBorder="1" applyAlignment="1">
      <alignment horizontal="center" vertical="top"/>
    </xf>
    <xf numFmtId="3" fontId="58" fillId="0" borderId="26" xfId="0" applyNumberFormat="1" applyFont="1" applyBorder="1" applyAlignment="1">
      <alignment horizontal="center" vertical="top"/>
    </xf>
    <xf numFmtId="0" fontId="3" fillId="0" borderId="14" xfId="0" applyFont="1" applyBorder="1"/>
    <xf numFmtId="0" fontId="2" fillId="0" borderId="32" xfId="0" applyFont="1" applyBorder="1" applyAlignment="1"/>
    <xf numFmtId="0" fontId="2" fillId="0" borderId="31" xfId="0" applyFont="1" applyBorder="1" applyAlignment="1"/>
    <xf numFmtId="0" fontId="61" fillId="0" borderId="59" xfId="0" applyFont="1" applyBorder="1" applyAlignment="1">
      <alignment horizontal="center" vertical="center"/>
    </xf>
    <xf numFmtId="0" fontId="2" fillId="0" borderId="22" xfId="0" applyFont="1" applyBorder="1" applyAlignment="1"/>
    <xf numFmtId="0" fontId="2" fillId="0" borderId="74" xfId="0" applyFont="1" applyBorder="1" applyAlignment="1"/>
    <xf numFmtId="0" fontId="2" fillId="0" borderId="72" xfId="0" applyFont="1" applyBorder="1" applyAlignment="1"/>
    <xf numFmtId="0" fontId="2" fillId="0" borderId="34" xfId="0" applyFont="1" applyBorder="1" applyAlignment="1"/>
    <xf numFmtId="0" fontId="2" fillId="0" borderId="36" xfId="0" applyFont="1" applyBorder="1" applyAlignment="1"/>
    <xf numFmtId="0" fontId="2" fillId="0" borderId="56" xfId="0" applyFont="1" applyBorder="1" applyAlignment="1"/>
    <xf numFmtId="0" fontId="67" fillId="0" borderId="59" xfId="0" applyFont="1" applyBorder="1" applyAlignment="1">
      <alignment horizontal="center" vertical="center"/>
    </xf>
    <xf numFmtId="0" fontId="23" fillId="0" borderId="26" xfId="0" applyFont="1" applyBorder="1" applyAlignment="1">
      <alignment horizontal="center"/>
    </xf>
    <xf numFmtId="0" fontId="23" fillId="0" borderId="12" xfId="0" applyFont="1" applyBorder="1" applyAlignment="1">
      <alignment horizontal="center"/>
    </xf>
    <xf numFmtId="0" fontId="2" fillId="0" borderId="58" xfId="0" applyFont="1" applyBorder="1" applyAlignment="1"/>
    <xf numFmtId="0" fontId="2" fillId="0" borderId="4" xfId="0" applyFont="1" applyBorder="1" applyAlignment="1"/>
    <xf numFmtId="0" fontId="2" fillId="0" borderId="41" xfId="0" applyFont="1" applyBorder="1" applyAlignment="1"/>
    <xf numFmtId="0" fontId="60" fillId="0" borderId="59" xfId="0" applyFont="1" applyBorder="1" applyAlignment="1">
      <alignment horizontal="center" vertical="center" wrapText="1" readingOrder="1"/>
    </xf>
    <xf numFmtId="0" fontId="2" fillId="0" borderId="77" xfId="0" applyFont="1" applyBorder="1" applyAlignment="1"/>
  </cellXfs>
  <cellStyles count="1">
    <cellStyle name="Normal" xfId="0" builtinId="0"/>
  </cellStyles>
  <dxfs count="18">
    <dxf>
      <fill>
        <patternFill patternType="solid">
          <fgColor rgb="FF368736"/>
          <bgColor rgb="FF368736"/>
        </patternFill>
      </fill>
    </dxf>
    <dxf>
      <fill>
        <patternFill patternType="solid">
          <fgColor rgb="FF84A8DD"/>
          <bgColor rgb="FF84A8DD"/>
        </patternFill>
      </fill>
    </dxf>
    <dxf>
      <fill>
        <patternFill patternType="solid">
          <fgColor rgb="FF84A8DD"/>
          <bgColor rgb="FF84A8DD"/>
        </patternFill>
      </fill>
    </dxf>
    <dxf>
      <fill>
        <patternFill patternType="solid">
          <fgColor rgb="FFC1D3EE"/>
          <bgColor rgb="FFC1D3EE"/>
        </patternFill>
      </fill>
    </dxf>
    <dxf>
      <fill>
        <patternFill patternType="solid">
          <fgColor rgb="FF84A8DD"/>
          <bgColor rgb="FF84A8DD"/>
        </patternFill>
      </fill>
    </dxf>
    <dxf>
      <fill>
        <patternFill patternType="solid">
          <fgColor rgb="FF84A8DD"/>
          <bgColor rgb="FF84A8DD"/>
        </patternFill>
      </fill>
    </dxf>
    <dxf>
      <fill>
        <patternFill patternType="solid">
          <fgColor rgb="FF84A8DD"/>
          <bgColor rgb="FF84A8DD"/>
        </patternFill>
      </fill>
    </dxf>
    <dxf>
      <fill>
        <patternFill patternType="solid">
          <fgColor rgb="FF84A8DD"/>
          <bgColor rgb="FF84A8DD"/>
        </patternFill>
      </fill>
    </dxf>
    <dxf>
      <fill>
        <patternFill patternType="solid">
          <fgColor rgb="FF84A8DD"/>
          <bgColor rgb="FF84A8DD"/>
        </patternFill>
      </fill>
    </dxf>
    <dxf>
      <fill>
        <patternFill patternType="solid">
          <fgColor rgb="FF84A8DD"/>
          <bgColor rgb="FF84A8DD"/>
        </patternFill>
      </fill>
    </dxf>
    <dxf>
      <fill>
        <patternFill patternType="solid">
          <fgColor rgb="FFC1D3EE"/>
          <bgColor rgb="FFC1D3EE"/>
        </patternFill>
      </fill>
    </dxf>
    <dxf>
      <fill>
        <patternFill patternType="solid">
          <fgColor rgb="FF84A8DD"/>
          <bgColor rgb="FF84A8DD"/>
        </patternFill>
      </fill>
    </dxf>
    <dxf>
      <fill>
        <patternFill patternType="solid">
          <fgColor rgb="FF84A8DD"/>
          <bgColor rgb="FF84A8DD"/>
        </patternFill>
      </fill>
    </dxf>
    <dxf>
      <fill>
        <patternFill patternType="solid">
          <fgColor rgb="FF97C9F0"/>
          <bgColor rgb="FF97C9F0"/>
        </patternFill>
      </fill>
      <border>
        <left style="thin">
          <color theme="4"/>
        </left>
        <right style="thin">
          <color theme="4"/>
        </right>
        <top style="thin">
          <color theme="4"/>
        </top>
        <bottom style="thin">
          <color theme="4"/>
        </bottom>
      </border>
    </dxf>
    <dxf>
      <fill>
        <patternFill patternType="solid">
          <fgColor rgb="FF97C9F0"/>
          <bgColor rgb="FF97C9F0"/>
        </patternFill>
      </fill>
      <border>
        <left style="thin">
          <color theme="4"/>
        </left>
        <right style="thin">
          <color theme="4"/>
        </right>
        <top style="thin">
          <color theme="4"/>
        </top>
        <bottom style="thin">
          <color theme="4"/>
        </bottom>
      </border>
    </dxf>
    <dxf>
      <fill>
        <patternFill patternType="solid">
          <fgColor rgb="FF97C9F0"/>
          <bgColor rgb="FF97C9F0"/>
        </patternFill>
      </fill>
      <border>
        <left style="thin">
          <color theme="4"/>
        </left>
        <right style="thin">
          <color theme="4"/>
        </right>
        <top style="thin">
          <color theme="4"/>
        </top>
        <bottom style="thin">
          <color theme="4"/>
        </bottom>
      </border>
    </dxf>
    <dxf>
      <fill>
        <patternFill patternType="solid">
          <fgColor rgb="FF97C9F0"/>
          <bgColor rgb="FF97C9F0"/>
        </patternFill>
      </fill>
      <border>
        <left style="thin">
          <color theme="4"/>
        </left>
        <right style="thin">
          <color theme="4"/>
        </right>
        <top style="thin">
          <color theme="4"/>
        </top>
        <bottom style="thin">
          <color theme="4"/>
        </bottom>
      </border>
    </dxf>
    <dxf>
      <fill>
        <patternFill patternType="solid">
          <fgColor rgb="FF368736"/>
          <bgColor rgb="FF3687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17/06/relationships/rdRichValue" Target="richData/rdrichvalue.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a:solidFill>
                  <a:srgbClr val="000000"/>
                </a:solidFill>
                <a:latin typeface="sans-serif"/>
              </a:defRPr>
            </a:pPr>
            <a:r>
              <a:rPr sz="1400" b="1">
                <a:solidFill>
                  <a:srgbClr val="000000"/>
                </a:solidFill>
                <a:latin typeface="sans-serif"/>
              </a:rPr>
              <a:t>Operating Expenses</a:t>
            </a:r>
          </a:p>
        </c:rich>
      </c:tx>
      <c:overlay val="0"/>
    </c:title>
    <c:autoTitleDeleted val="0"/>
    <c:plotArea>
      <c:layout/>
      <c:pieChart>
        <c:varyColors val="1"/>
        <c:ser>
          <c:idx val="0"/>
          <c:order val="0"/>
          <c:dPt>
            <c:idx val="0"/>
            <c:bubble3D val="0"/>
            <c:spPr>
              <a:solidFill>
                <a:srgbClr val="1B75BB"/>
              </a:solidFill>
            </c:spPr>
            <c:extLst>
              <c:ext xmlns:c16="http://schemas.microsoft.com/office/drawing/2014/chart" uri="{C3380CC4-5D6E-409C-BE32-E72D297353CC}">
                <c16:uniqueId val="{00000001-7193-4C1B-978F-8E43A03380A0}"/>
              </c:ext>
            </c:extLst>
          </c:dPt>
          <c:dPt>
            <c:idx val="1"/>
            <c:bubble3D val="0"/>
            <c:spPr>
              <a:solidFill>
                <a:srgbClr val="ED1C24"/>
              </a:solidFill>
            </c:spPr>
            <c:extLst>
              <c:ext xmlns:c16="http://schemas.microsoft.com/office/drawing/2014/chart" uri="{C3380CC4-5D6E-409C-BE32-E72D297353CC}">
                <c16:uniqueId val="{00000003-7193-4C1B-978F-8E43A03380A0}"/>
              </c:ext>
            </c:extLst>
          </c:dPt>
          <c:dPt>
            <c:idx val="2"/>
            <c:bubble3D val="0"/>
            <c:spPr>
              <a:solidFill>
                <a:srgbClr val="1A365F"/>
              </a:solidFill>
            </c:spPr>
            <c:extLst>
              <c:ext xmlns:c16="http://schemas.microsoft.com/office/drawing/2014/chart" uri="{C3380CC4-5D6E-409C-BE32-E72D297353CC}">
                <c16:uniqueId val="{00000005-7193-4C1B-978F-8E43A03380A0}"/>
              </c:ext>
            </c:extLst>
          </c:dPt>
          <c:dPt>
            <c:idx val="3"/>
            <c:bubble3D val="0"/>
            <c:spPr>
              <a:solidFill>
                <a:srgbClr val="A5A5A5"/>
              </a:solidFill>
            </c:spPr>
            <c:extLst>
              <c:ext xmlns:c16="http://schemas.microsoft.com/office/drawing/2014/chart" uri="{C3380CC4-5D6E-409C-BE32-E72D297353CC}">
                <c16:uniqueId val="{00000007-7193-4C1B-978F-8E43A03380A0}"/>
              </c:ext>
            </c:extLst>
          </c:dPt>
          <c:dPt>
            <c:idx val="4"/>
            <c:bubble3D val="0"/>
            <c:spPr>
              <a:solidFill>
                <a:srgbClr val="FFC000"/>
              </a:solidFill>
            </c:spPr>
            <c:extLst>
              <c:ext xmlns:c16="http://schemas.microsoft.com/office/drawing/2014/chart" uri="{C3380CC4-5D6E-409C-BE32-E72D297353CC}">
                <c16:uniqueId val="{00000009-7193-4C1B-978F-8E43A03380A0}"/>
              </c:ext>
            </c:extLst>
          </c:dPt>
          <c:dPt>
            <c:idx val="5"/>
            <c:bubble3D val="0"/>
            <c:spPr>
              <a:solidFill>
                <a:srgbClr val="5BBC38"/>
              </a:solidFill>
            </c:spPr>
            <c:extLst>
              <c:ext xmlns:c16="http://schemas.microsoft.com/office/drawing/2014/chart" uri="{C3380CC4-5D6E-409C-BE32-E72D297353CC}">
                <c16:uniqueId val="{0000000B-7193-4C1B-978F-8E43A03380A0}"/>
              </c:ext>
            </c:extLst>
          </c:dPt>
          <c:dPt>
            <c:idx val="6"/>
            <c:bubble3D val="0"/>
            <c:spPr>
              <a:solidFill>
                <a:srgbClr val="5F9ECF"/>
              </a:solidFill>
            </c:spPr>
            <c:extLst>
              <c:ext xmlns:c16="http://schemas.microsoft.com/office/drawing/2014/chart" uri="{C3380CC4-5D6E-409C-BE32-E72D297353CC}">
                <c16:uniqueId val="{0000000D-7193-4C1B-978F-8E43A03380A0}"/>
              </c:ext>
            </c:extLst>
          </c:dPt>
          <c:dPt>
            <c:idx val="7"/>
            <c:bubble3D val="0"/>
            <c:spPr>
              <a:solidFill>
                <a:srgbClr val="F26066"/>
              </a:solidFill>
            </c:spPr>
            <c:extLst>
              <c:ext xmlns:c16="http://schemas.microsoft.com/office/drawing/2014/chart" uri="{C3380CC4-5D6E-409C-BE32-E72D297353CC}">
                <c16:uniqueId val="{0000000F-7193-4C1B-978F-8E43A03380A0}"/>
              </c:ext>
            </c:extLst>
          </c:dPt>
          <c:dPt>
            <c:idx val="8"/>
            <c:bubble3D val="0"/>
            <c:spPr>
              <a:solidFill>
                <a:srgbClr val="5F728F"/>
              </a:solidFill>
            </c:spPr>
            <c:extLst>
              <c:ext xmlns:c16="http://schemas.microsoft.com/office/drawing/2014/chart" uri="{C3380CC4-5D6E-409C-BE32-E72D297353CC}">
                <c16:uniqueId val="{00000011-7193-4C1B-978F-8E43A03380A0}"/>
              </c:ext>
            </c:extLst>
          </c:dPt>
          <c:cat>
            <c:strRef>
              <c:f>'3. Outputs'!$A$11:$A$19</c:f>
              <c:strCache>
                <c:ptCount val="9"/>
                <c:pt idx="0">
                  <c:v>Operating Expenditure</c:v>
                </c:pt>
                <c:pt idx="1">
                  <c:v>Raw material 1</c:v>
                </c:pt>
                <c:pt idx="2">
                  <c:v>Raw material 2</c:v>
                </c:pt>
                <c:pt idx="3">
                  <c:v>Raw material 3</c:v>
                </c:pt>
                <c:pt idx="4">
                  <c:v>Other Raw Materials</c:v>
                </c:pt>
                <c:pt idx="5">
                  <c:v>Energy</c:v>
                </c:pt>
                <c:pt idx="6">
                  <c:v>Labor</c:v>
                </c:pt>
                <c:pt idx="7">
                  <c:v>Other Variable Operating Expenses</c:v>
                </c:pt>
                <c:pt idx="8">
                  <c:v>Fixed Operating Expenses</c:v>
                </c:pt>
              </c:strCache>
            </c:strRef>
          </c:cat>
          <c:val>
            <c:numRef>
              <c:f>'3. Outputs'!$D$11:$D$19</c:f>
              <c:numCache>
                <c:formatCode>0.0%</c:formatCode>
                <c:ptCount val="9"/>
                <c:pt idx="0" formatCode="General">
                  <c:v>0</c:v>
                </c:pt>
                <c:pt idx="1">
                  <c:v>0.15909226753508296</c:v>
                </c:pt>
                <c:pt idx="2">
                  <c:v>3.1818453507016592E-2</c:v>
                </c:pt>
                <c:pt idx="3">
                  <c:v>6.3636907014033184E-2</c:v>
                </c:pt>
                <c:pt idx="4">
                  <c:v>0.19091072104209958</c:v>
                </c:pt>
                <c:pt idx="5">
                  <c:v>0.20331991790983606</c:v>
                </c:pt>
                <c:pt idx="6">
                  <c:v>0.14034038014525782</c:v>
                </c:pt>
                <c:pt idx="7">
                  <c:v>7.6446380026887931E-2</c:v>
                </c:pt>
                <c:pt idx="8">
                  <c:v>6.7416232213922164E-2</c:v>
                </c:pt>
              </c:numCache>
            </c:numRef>
          </c:val>
          <c:extLst>
            <c:ext xmlns:c16="http://schemas.microsoft.com/office/drawing/2014/chart" uri="{C3380CC4-5D6E-409C-BE32-E72D297353CC}">
              <c16:uniqueId val="{00000012-7193-4C1B-978F-8E43A03380A0}"/>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10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a:solidFill>
                  <a:srgbClr val="000000"/>
                </a:solidFill>
                <a:latin typeface="sans-serif"/>
              </a:defRPr>
            </a:pPr>
            <a:r>
              <a:rPr sz="1400" b="1">
                <a:solidFill>
                  <a:srgbClr val="000000"/>
                </a:solidFill>
                <a:latin typeface="sans-serif"/>
              </a:rPr>
              <a:t>Tornado Diagram - Cost per Unit</a:t>
            </a:r>
          </a:p>
        </c:rich>
      </c:tx>
      <c:overlay val="0"/>
    </c:title>
    <c:autoTitleDeleted val="0"/>
    <c:plotArea>
      <c:layout/>
      <c:barChart>
        <c:barDir val="bar"/>
        <c:grouping val="stacked"/>
        <c:varyColors val="1"/>
        <c:ser>
          <c:idx val="0"/>
          <c:order val="0"/>
          <c:tx>
            <c:strRef>
              <c:f>'3. Outputs'!$B$76</c:f>
              <c:strCache>
                <c:ptCount val="1"/>
              </c:strCache>
            </c:strRef>
          </c:tx>
          <c:spPr>
            <a:solidFill>
              <a:srgbClr val="FFFFFF"/>
            </a:solidFill>
            <a:ln w="9525" cmpd="sng">
              <a:solidFill>
                <a:srgbClr val="FFFFFF">
                  <a:alpha val="0"/>
                </a:srgbClr>
              </a:solidFill>
              <a:prstDash val="solid"/>
            </a:ln>
          </c:spPr>
          <c:invertIfNegative val="1"/>
          <c:dPt>
            <c:idx val="5"/>
            <c:invertIfNegative val="1"/>
            <c:bubble3D val="0"/>
            <c:extLst>
              <c:ext xmlns:c16="http://schemas.microsoft.com/office/drawing/2014/chart" uri="{C3380CC4-5D6E-409C-BE32-E72D297353CC}">
                <c16:uniqueId val="{00000000-5BF0-40F3-B24D-36D9A0623DAA}"/>
              </c:ext>
            </c:extLst>
          </c:dPt>
          <c:cat>
            <c:strRef>
              <c:f>'3. Outputs'!$A$77:$A$90</c:f>
              <c:strCache>
                <c:ptCount val="14"/>
                <c:pt idx="0">
                  <c:v>Annual Utilisation</c:v>
                </c:pt>
                <c:pt idx="1">
                  <c:v>Plant Lifetime</c:v>
                </c:pt>
                <c:pt idx="2">
                  <c:v>Raw material 1 Price</c:v>
                </c:pt>
                <c:pt idx="3">
                  <c:v>Raw material 2 Price</c:v>
                </c:pt>
                <c:pt idx="4">
                  <c:v>Raw material 3 Price</c:v>
                </c:pt>
                <c:pt idx="5">
                  <c:v>Energy Cost</c:v>
                </c:pt>
                <c:pt idx="6">
                  <c:v>Energy Use</c:v>
                </c:pt>
                <c:pt idx="7">
                  <c:v>Non-consumables (e.g. Catalysts)</c:v>
                </c:pt>
                <c:pt idx="8">
                  <c:v>Direct labor (shift positions)</c:v>
                </c:pt>
                <c:pt idx="9">
                  <c:v>Fixed Operating Expenses</c:v>
                </c:pt>
                <c:pt idx="10">
                  <c:v>Process Equipment 1 Price</c:v>
                </c:pt>
                <c:pt idx="11">
                  <c:v>Process Equipment 2 Price</c:v>
                </c:pt>
                <c:pt idx="12">
                  <c:v>Process Equipment 3 Price</c:v>
                </c:pt>
                <c:pt idx="13">
                  <c:v>Other Capex</c:v>
                </c:pt>
              </c:strCache>
            </c:strRef>
          </c:cat>
          <c:val>
            <c:numRef>
              <c:f>'3. Outputs'!$B$77:$B$90</c:f>
              <c:numCache>
                <c:formatCode>#,##0.00</c:formatCode>
                <c:ptCount val="14"/>
                <c:pt idx="0">
                  <c:v>5.2865340388399886</c:v>
                </c:pt>
                <c:pt idx="1">
                  <c:v>2.9357074074074205</c:v>
                </c:pt>
                <c:pt idx="2">
                  <c:v>2.5</c:v>
                </c:pt>
                <c:pt idx="3">
                  <c:v>0.5</c:v>
                </c:pt>
                <c:pt idx="4">
                  <c:v>1</c:v>
                </c:pt>
                <c:pt idx="5">
                  <c:v>10.199999999999989</c:v>
                </c:pt>
                <c:pt idx="6">
                  <c:v>12.240000000000009</c:v>
                </c:pt>
                <c:pt idx="7">
                  <c:v>2.4000000000000057</c:v>
                </c:pt>
                <c:pt idx="8">
                  <c:v>4.4106600000000071</c:v>
                </c:pt>
                <c:pt idx="9">
                  <c:v>2.1187777777777796</c:v>
                </c:pt>
                <c:pt idx="10">
                  <c:v>4.4444444444451392E-2</c:v>
                </c:pt>
                <c:pt idx="11">
                  <c:v>1.0370370370370381</c:v>
                </c:pt>
                <c:pt idx="12">
                  <c:v>0.15925925925927231</c:v>
                </c:pt>
              </c:numCache>
            </c:numRef>
          </c:val>
          <c:extLst>
            <c:ext xmlns:c14="http://schemas.microsoft.com/office/drawing/2007/8/2/chart" uri="{6F2FDCE9-48DA-4B69-8628-5D25D57E5C99}">
              <c14:invertSolidFillFmt>
                <c14:spPr xmlns:c14="http://schemas.microsoft.com/office/drawing/2007/8/2/chart">
                  <a:solidFill>
                    <a:srgbClr val="FFFFFF"/>
                  </a:solidFill>
                  <a:ln w="9525" cmpd="sng">
                    <a:solidFill>
                      <a:srgbClr val="FFFFFF">
                        <a:alpha val="0"/>
                      </a:srgbClr>
                    </a:solidFill>
                    <a:prstDash val="solid"/>
                  </a:ln>
                </c14:spPr>
              </c14:invertSolidFillFmt>
            </c:ext>
            <c:ext xmlns:c16="http://schemas.microsoft.com/office/drawing/2014/chart" uri="{C3380CC4-5D6E-409C-BE32-E72D297353CC}">
              <c16:uniqueId val="{00000001-5BF0-40F3-B24D-36D9A0623DAA}"/>
            </c:ext>
          </c:extLst>
        </c:ser>
        <c:ser>
          <c:idx val="1"/>
          <c:order val="1"/>
          <c:tx>
            <c:strRef>
              <c:f>'3. Outputs'!$C$76</c:f>
              <c:strCache>
                <c:ptCount val="1"/>
                <c:pt idx="0">
                  <c:v>Best Case</c:v>
                </c:pt>
              </c:strCache>
            </c:strRef>
          </c:tx>
          <c:spPr>
            <a:solidFill>
              <a:schemeClr val="accent2"/>
            </a:solidFill>
            <a:ln cmpd="sng">
              <a:solidFill>
                <a:srgbClr val="000000"/>
              </a:solidFill>
            </a:ln>
          </c:spPr>
          <c:invertIfNegative val="1"/>
          <c:dPt>
            <c:idx val="1"/>
            <c:invertIfNegative val="1"/>
            <c:bubble3D val="0"/>
            <c:extLst>
              <c:ext xmlns:c16="http://schemas.microsoft.com/office/drawing/2014/chart" uri="{C3380CC4-5D6E-409C-BE32-E72D297353CC}">
                <c16:uniqueId val="{00000002-5BF0-40F3-B24D-36D9A0623DAA}"/>
              </c:ext>
            </c:extLst>
          </c:dPt>
          <c:dLbls>
            <c:dLbl>
              <c:idx val="1"/>
              <c:numFmt formatCode="#,##0" sourceLinked="0"/>
              <c:spPr/>
              <c:txPr>
                <a:bodyPr/>
                <a:lstStyle/>
                <a:p>
                  <a:pPr lvl="0">
                    <a:defRPr>
                      <a:latin typeface="Verdana"/>
                    </a:defRPr>
                  </a:pPr>
                  <a:endParaRPr lang="en-US"/>
                </a:p>
              </c:txPr>
              <c:showLegendKey val="0"/>
              <c:showVal val="1"/>
              <c:showCatName val="0"/>
              <c:showSerName val="0"/>
              <c:showPercent val="0"/>
              <c:showBubbleSize val="0"/>
              <c:extLst>
                <c:ext xmlns:c16="http://schemas.microsoft.com/office/drawing/2014/chart" uri="{C3380CC4-5D6E-409C-BE32-E72D297353CC}">
                  <c16:uniqueId val="{00000002-5BF0-40F3-B24D-36D9A0623DAA}"/>
                </c:ext>
              </c:extLst>
            </c:dLbl>
            <c:numFmt formatCode="#,##0" sourceLinked="0"/>
            <c:spPr>
              <a:noFill/>
              <a:ln>
                <a:noFill/>
              </a:ln>
              <a:effectLst/>
            </c:spPr>
            <c:txPr>
              <a:bodyPr/>
              <a:lstStyle/>
              <a:p>
                <a:pPr lvl="0">
                  <a:defRPr sz="1000">
                    <a:latin typeface="sans-serif"/>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Outputs'!$A$77:$A$90</c:f>
              <c:strCache>
                <c:ptCount val="14"/>
                <c:pt idx="0">
                  <c:v>Annual Utilisation</c:v>
                </c:pt>
                <c:pt idx="1">
                  <c:v>Plant Lifetime</c:v>
                </c:pt>
                <c:pt idx="2">
                  <c:v>Raw material 1 Price</c:v>
                </c:pt>
                <c:pt idx="3">
                  <c:v>Raw material 2 Price</c:v>
                </c:pt>
                <c:pt idx="4">
                  <c:v>Raw material 3 Price</c:v>
                </c:pt>
                <c:pt idx="5">
                  <c:v>Energy Cost</c:v>
                </c:pt>
                <c:pt idx="6">
                  <c:v>Energy Use</c:v>
                </c:pt>
                <c:pt idx="7">
                  <c:v>Non-consumables (e.g. Catalysts)</c:v>
                </c:pt>
                <c:pt idx="8">
                  <c:v>Direct labor (shift positions)</c:v>
                </c:pt>
                <c:pt idx="9">
                  <c:v>Fixed Operating Expenses</c:v>
                </c:pt>
                <c:pt idx="10">
                  <c:v>Process Equipment 1 Price</c:v>
                </c:pt>
                <c:pt idx="11">
                  <c:v>Process Equipment 2 Price</c:v>
                </c:pt>
                <c:pt idx="12">
                  <c:v>Process Equipment 3 Price</c:v>
                </c:pt>
                <c:pt idx="13">
                  <c:v>Other Capex</c:v>
                </c:pt>
              </c:strCache>
            </c:strRef>
          </c:cat>
          <c:val>
            <c:numRef>
              <c:f>'3. Outputs'!$C$77:$C$90</c:f>
              <c:numCache>
                <c:formatCode>#,##0.00</c:formatCode>
                <c:ptCount val="14"/>
                <c:pt idx="0">
                  <c:v>162.4488701941998</c:v>
                </c:pt>
                <c:pt idx="1">
                  <c:v>164.79969682563237</c:v>
                </c:pt>
                <c:pt idx="2">
                  <c:v>165.23540423303979</c:v>
                </c:pt>
                <c:pt idx="3">
                  <c:v>167.23540423303979</c:v>
                </c:pt>
                <c:pt idx="4">
                  <c:v>166.73540423303979</c:v>
                </c:pt>
                <c:pt idx="5">
                  <c:v>157.5354042330398</c:v>
                </c:pt>
                <c:pt idx="6">
                  <c:v>155.49540423303978</c:v>
                </c:pt>
                <c:pt idx="7">
                  <c:v>165.33540423303978</c:v>
                </c:pt>
                <c:pt idx="8" formatCode="General">
                  <c:v>163.32474423303978</c:v>
                </c:pt>
                <c:pt idx="9">
                  <c:v>165.61662645526201</c:v>
                </c:pt>
                <c:pt idx="10">
                  <c:v>167.69095978859534</c:v>
                </c:pt>
                <c:pt idx="11">
                  <c:v>166.69836719600275</c:v>
                </c:pt>
                <c:pt idx="12">
                  <c:v>167.57614497378052</c:v>
                </c:pt>
                <c:pt idx="13">
                  <c:v>175.15658042363376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5BF0-40F3-B24D-36D9A0623DAA}"/>
            </c:ext>
          </c:extLst>
        </c:ser>
        <c:ser>
          <c:idx val="2"/>
          <c:order val="2"/>
          <c:tx>
            <c:strRef>
              <c:f>'3. Outputs'!$D$76</c:f>
              <c:strCache>
                <c:ptCount val="1"/>
                <c:pt idx="0">
                  <c:v>Worst Case</c:v>
                </c:pt>
              </c:strCache>
            </c:strRef>
          </c:tx>
          <c:spPr>
            <a:solidFill>
              <a:schemeClr val="accent3"/>
            </a:solidFill>
            <a:ln cmpd="sng">
              <a:solidFill>
                <a:srgbClr val="000000"/>
              </a:solidFill>
            </a:ln>
          </c:spPr>
          <c:invertIfNegative val="1"/>
          <c:dPt>
            <c:idx val="2"/>
            <c:invertIfNegative val="1"/>
            <c:bubble3D val="0"/>
            <c:extLst>
              <c:ext xmlns:c16="http://schemas.microsoft.com/office/drawing/2014/chart" uri="{C3380CC4-5D6E-409C-BE32-E72D297353CC}">
                <c16:uniqueId val="{00000004-5BF0-40F3-B24D-36D9A0623DAA}"/>
              </c:ext>
            </c:extLst>
          </c:dPt>
          <c:dLbls>
            <c:numFmt formatCode="0" sourceLinked="0"/>
            <c:spPr>
              <a:noFill/>
              <a:ln>
                <a:noFill/>
              </a:ln>
              <a:effectLst/>
            </c:spPr>
            <c:txPr>
              <a:bodyPr/>
              <a:lstStyle/>
              <a:p>
                <a:pPr lvl="0">
                  <a:defRPr sz="1000">
                    <a:latin typeface="sans-serif"/>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Outputs'!$A$77:$A$90</c:f>
              <c:strCache>
                <c:ptCount val="14"/>
                <c:pt idx="0">
                  <c:v>Annual Utilisation</c:v>
                </c:pt>
                <c:pt idx="1">
                  <c:v>Plant Lifetime</c:v>
                </c:pt>
                <c:pt idx="2">
                  <c:v>Raw material 1 Price</c:v>
                </c:pt>
                <c:pt idx="3">
                  <c:v>Raw material 2 Price</c:v>
                </c:pt>
                <c:pt idx="4">
                  <c:v>Raw material 3 Price</c:v>
                </c:pt>
                <c:pt idx="5">
                  <c:v>Energy Cost</c:v>
                </c:pt>
                <c:pt idx="6">
                  <c:v>Energy Use</c:v>
                </c:pt>
                <c:pt idx="7">
                  <c:v>Non-consumables (e.g. Catalysts)</c:v>
                </c:pt>
                <c:pt idx="8">
                  <c:v>Direct labor (shift positions)</c:v>
                </c:pt>
                <c:pt idx="9">
                  <c:v>Fixed Operating Expenses</c:v>
                </c:pt>
                <c:pt idx="10">
                  <c:v>Process Equipment 1 Price</c:v>
                </c:pt>
                <c:pt idx="11">
                  <c:v>Process Equipment 2 Price</c:v>
                </c:pt>
                <c:pt idx="12">
                  <c:v>Process Equipment 3 Price</c:v>
                </c:pt>
                <c:pt idx="13">
                  <c:v>Other Capex</c:v>
                </c:pt>
              </c:strCache>
            </c:strRef>
          </c:cat>
          <c:val>
            <c:numRef>
              <c:f>'3. Outputs'!$D$77:$D$90</c:f>
              <c:numCache>
                <c:formatCode>#,##0.00</c:formatCode>
                <c:ptCount val="14"/>
                <c:pt idx="0">
                  <c:v>175.66520529129971</c:v>
                </c:pt>
                <c:pt idx="1">
                  <c:v>171.88607064187897</c:v>
                </c:pt>
                <c:pt idx="2">
                  <c:v>175.23540423303979</c:v>
                </c:pt>
                <c:pt idx="3">
                  <c:v>169.23540423303979</c:v>
                </c:pt>
                <c:pt idx="4">
                  <c:v>170.73540423303979</c:v>
                </c:pt>
                <c:pt idx="5">
                  <c:v>188.13540423303979</c:v>
                </c:pt>
                <c:pt idx="6">
                  <c:v>198.33540423303981</c:v>
                </c:pt>
                <c:pt idx="7">
                  <c:v>179.73540423303979</c:v>
                </c:pt>
                <c:pt idx="8" formatCode="General">
                  <c:v>189.78870423303979</c:v>
                </c:pt>
                <c:pt idx="9">
                  <c:v>178.32929312192866</c:v>
                </c:pt>
                <c:pt idx="10">
                  <c:v>167.8465153441509</c:v>
                </c:pt>
                <c:pt idx="11">
                  <c:v>170.32799682563237</c:v>
                </c:pt>
                <c:pt idx="12">
                  <c:v>168.13355238118794</c:v>
                </c:pt>
                <c:pt idx="13">
                  <c:v>164.76693375680219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5BF0-40F3-B24D-36D9A0623DAA}"/>
            </c:ext>
          </c:extLst>
        </c:ser>
        <c:dLbls>
          <c:showLegendKey val="0"/>
          <c:showVal val="0"/>
          <c:showCatName val="0"/>
          <c:showSerName val="0"/>
          <c:showPercent val="0"/>
          <c:showBubbleSize val="0"/>
        </c:dLbls>
        <c:gapWidth val="150"/>
        <c:overlap val="100"/>
        <c:axId val="1969416472"/>
        <c:axId val="709769110"/>
      </c:barChart>
      <c:catAx>
        <c:axId val="1969416472"/>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0">
                <a:solidFill>
                  <a:srgbClr val="000000"/>
                </a:solidFill>
                <a:latin typeface="sans-serif"/>
              </a:defRPr>
            </a:pPr>
            <a:endParaRPr lang="en-US"/>
          </a:p>
        </c:txPr>
        <c:crossAx val="709769110"/>
        <c:crosses val="autoZero"/>
        <c:auto val="1"/>
        <c:lblAlgn val="ctr"/>
        <c:lblOffset val="100"/>
        <c:noMultiLvlLbl val="1"/>
      </c:catAx>
      <c:valAx>
        <c:axId val="709769110"/>
        <c:scaling>
          <c:orientation val="minMax"/>
        </c:scaling>
        <c:delete val="0"/>
        <c:axPos val="b"/>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0"/>
        <c:majorTickMark val="none"/>
        <c:minorTickMark val="none"/>
        <c:tickLblPos val="nextTo"/>
        <c:spPr>
          <a:ln/>
        </c:spPr>
        <c:txPr>
          <a:bodyPr/>
          <a:lstStyle/>
          <a:p>
            <a:pPr lvl="0">
              <a:defRPr b="0">
                <a:solidFill>
                  <a:schemeClr val="lt1"/>
                </a:solidFill>
                <a:latin typeface="+mn-lt"/>
              </a:defRPr>
            </a:pPr>
            <a:endParaRPr lang="en-US"/>
          </a:p>
        </c:txPr>
        <c:crossAx val="1969416472"/>
        <c:crosses val="max"/>
        <c:crossBetween val="between"/>
      </c:valAx>
    </c:plotArea>
    <c:legend>
      <c:legendPos val="t"/>
      <c:overlay val="0"/>
      <c:txPr>
        <a:bodyPr/>
        <a:lstStyle/>
        <a:p>
          <a:pPr lvl="0">
            <a:defRPr sz="1000" b="0">
              <a:solidFill>
                <a:srgbClr val="000000"/>
              </a:solidFill>
              <a:latin typeface="sans-serif"/>
            </a:defRPr>
          </a:pPr>
          <a:endParaRPr lang="en-US"/>
        </a:p>
      </c:txPr>
    </c:legend>
    <c:plotVisOnly val="0"/>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a:solidFill>
                  <a:srgbClr val="000000"/>
                </a:solidFill>
                <a:latin typeface="sans-serif"/>
              </a:defRPr>
            </a:pPr>
            <a:r>
              <a:rPr sz="1400" b="1">
                <a:solidFill>
                  <a:srgbClr val="000000"/>
                </a:solidFill>
                <a:latin typeface="sans-serif"/>
              </a:rPr>
              <a:t>Detailed Sensitivity Analysis</a:t>
            </a:r>
          </a:p>
        </c:rich>
      </c:tx>
      <c:overlay val="0"/>
    </c:title>
    <c:autoTitleDeleted val="0"/>
    <c:plotArea>
      <c:layout/>
      <c:lineChart>
        <c:grouping val="standard"/>
        <c:varyColors val="0"/>
        <c:ser>
          <c:idx val="0"/>
          <c:order val="0"/>
          <c:tx>
            <c:strRef>
              <c:f>'3. Outputs'!$AH$76</c:f>
              <c:strCache>
                <c:ptCount val="1"/>
                <c:pt idx="0">
                  <c:v>Total Cost based on Annual Utilisation</c:v>
                </c:pt>
              </c:strCache>
            </c:strRef>
          </c:tx>
          <c:spPr>
            <a:ln w="38100" cmpd="sng">
              <a:solidFill>
                <a:schemeClr val="accent3"/>
              </a:solidFill>
              <a:prstDash val="solid"/>
            </a:ln>
          </c:spPr>
          <c:marker>
            <c:symbol val="none"/>
          </c:marker>
          <c:cat>
            <c:numRef>
              <c:f>'3. Outputs'!$AG$77:$AG$91</c:f>
              <c:numCache>
                <c:formatCode>0.00%</c:formatCode>
                <c:ptCount val="15"/>
                <c:pt idx="0">
                  <c:v>5.0000000000000142E-2</c:v>
                </c:pt>
                <c:pt idx="1">
                  <c:v>0.10000000000000014</c:v>
                </c:pt>
                <c:pt idx="2">
                  <c:v>0.20000000000000015</c:v>
                </c:pt>
                <c:pt idx="3">
                  <c:v>0.30000000000000016</c:v>
                </c:pt>
                <c:pt idx="4">
                  <c:v>0.40000000000000013</c:v>
                </c:pt>
                <c:pt idx="5">
                  <c:v>0.50000000000000011</c:v>
                </c:pt>
                <c:pt idx="6">
                  <c:v>0.60000000000000009</c:v>
                </c:pt>
                <c:pt idx="7">
                  <c:v>0.70000000000000007</c:v>
                </c:pt>
                <c:pt idx="8">
                  <c:v>0.8</c:v>
                </c:pt>
                <c:pt idx="9">
                  <c:v>0.9</c:v>
                </c:pt>
                <c:pt idx="10">
                  <c:v>1</c:v>
                </c:pt>
                <c:pt idx="11" formatCode="General">
                  <c:v>0</c:v>
                </c:pt>
                <c:pt idx="12" formatCode="General">
                  <c:v>0</c:v>
                </c:pt>
                <c:pt idx="13" formatCode="General">
                  <c:v>0</c:v>
                </c:pt>
                <c:pt idx="14" formatCode="General">
                  <c:v>0</c:v>
                </c:pt>
              </c:numCache>
            </c:numRef>
          </c:cat>
          <c:val>
            <c:numRef>
              <c:f>'3. Outputs'!$AH$77:$AH$91</c:f>
              <c:numCache>
                <c:formatCode>#,##0.00</c:formatCode>
                <c:ptCount val="15"/>
                <c:pt idx="0">
                  <c:v>709.41224286138095</c:v>
                </c:pt>
                <c:pt idx="1">
                  <c:v>423.93940476402423</c:v>
                </c:pt>
                <c:pt idx="2">
                  <c:v>281.20298571534556</c:v>
                </c:pt>
                <c:pt idx="3">
                  <c:v>233.62417936578592</c:v>
                </c:pt>
                <c:pt idx="4">
                  <c:v>209.83477619100614</c:v>
                </c:pt>
                <c:pt idx="5">
                  <c:v>195.56113428613824</c:v>
                </c:pt>
                <c:pt idx="6">
                  <c:v>186.04537301622631</c:v>
                </c:pt>
                <c:pt idx="7">
                  <c:v>179.24840068057495</c:v>
                </c:pt>
                <c:pt idx="8">
                  <c:v>174.1506714288364</c:v>
                </c:pt>
                <c:pt idx="9">
                  <c:v>170.18577089970645</c:v>
                </c:pt>
                <c:pt idx="10">
                  <c:v>167.01385047640247</c:v>
                </c:pt>
                <c:pt idx="11">
                  <c:v>0</c:v>
                </c:pt>
                <c:pt idx="12">
                  <c:v>0</c:v>
                </c:pt>
                <c:pt idx="13">
                  <c:v>0</c:v>
                </c:pt>
                <c:pt idx="14">
                  <c:v>0</c:v>
                </c:pt>
              </c:numCache>
            </c:numRef>
          </c:val>
          <c:smooth val="0"/>
          <c:extLst>
            <c:ext xmlns:c16="http://schemas.microsoft.com/office/drawing/2014/chart" uri="{C3380CC4-5D6E-409C-BE32-E72D297353CC}">
              <c16:uniqueId val="{00000000-E578-49EE-A067-8327F918C88F}"/>
            </c:ext>
          </c:extLst>
        </c:ser>
        <c:dLbls>
          <c:showLegendKey val="0"/>
          <c:showVal val="0"/>
          <c:showCatName val="0"/>
          <c:showSerName val="0"/>
          <c:showPercent val="0"/>
          <c:showBubbleSize val="0"/>
        </c:dLbls>
        <c:smooth val="0"/>
        <c:axId val="1063729320"/>
        <c:axId val="2036865330"/>
      </c:lineChart>
      <c:catAx>
        <c:axId val="1063729320"/>
        <c:scaling>
          <c:orientation val="minMax"/>
        </c:scaling>
        <c:delete val="0"/>
        <c:axPos val="b"/>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txPr>
          <a:bodyPr/>
          <a:lstStyle/>
          <a:p>
            <a:pPr lvl="0">
              <a:defRPr b="0">
                <a:solidFill>
                  <a:srgbClr val="000000"/>
                </a:solidFill>
                <a:latin typeface="+mn-lt"/>
              </a:defRPr>
            </a:pPr>
            <a:endParaRPr lang="en-US"/>
          </a:p>
        </c:txPr>
        <c:crossAx val="2036865330"/>
        <c:crosses val="autoZero"/>
        <c:auto val="1"/>
        <c:lblAlgn val="ctr"/>
        <c:lblOffset val="100"/>
        <c:noMultiLvlLbl val="1"/>
      </c:catAx>
      <c:valAx>
        <c:axId val="203686533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000" b="0">
                    <a:solidFill>
                      <a:srgbClr val="000000"/>
                    </a:solidFill>
                    <a:latin typeface="sans-serif"/>
                  </a:defRPr>
                </a:pPr>
                <a:r>
                  <a:rPr sz="1000" b="0">
                    <a:solidFill>
                      <a:srgbClr val="000000"/>
                    </a:solidFill>
                    <a:latin typeface="sans-serif"/>
                  </a:rPr>
                  <a:t>Total Cost (€/ton)</a:t>
                </a:r>
              </a:p>
            </c:rich>
          </c:tx>
          <c:overlay val="0"/>
        </c:title>
        <c:numFmt formatCode="#,##0.00" sourceLinked="1"/>
        <c:majorTickMark val="none"/>
        <c:minorTickMark val="none"/>
        <c:tickLblPos val="nextTo"/>
        <c:spPr>
          <a:ln/>
        </c:spPr>
        <c:txPr>
          <a:bodyPr/>
          <a:lstStyle/>
          <a:p>
            <a:pPr lvl="0">
              <a:defRPr sz="1000" b="0">
                <a:solidFill>
                  <a:srgbClr val="000000"/>
                </a:solidFill>
                <a:latin typeface="sans-serif"/>
              </a:defRPr>
            </a:pPr>
            <a:endParaRPr lang="en-US"/>
          </a:p>
        </c:txPr>
        <c:crossAx val="1063729320"/>
        <c:crosses val="autoZero"/>
        <c:crossBetween val="between"/>
      </c:valAx>
    </c:plotArea>
    <c:legend>
      <c:legendPos val="b"/>
      <c:overlay val="0"/>
      <c:txPr>
        <a:bodyPr/>
        <a:lstStyle/>
        <a:p>
          <a:pPr lvl="0">
            <a:defRPr sz="1000" b="0">
              <a:solidFill>
                <a:srgbClr val="000000"/>
              </a:solidFill>
              <a:latin typeface="sans-serif"/>
            </a:defRPr>
          </a:pPr>
          <a:endParaRPr lang="en-US"/>
        </a:p>
      </c:txPr>
    </c:legend>
    <c:plotVisOnly val="0"/>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a:solidFill>
                  <a:srgbClr val="000000"/>
                </a:solidFill>
                <a:latin typeface="sans-serif"/>
              </a:defRPr>
            </a:pPr>
            <a:r>
              <a:rPr sz="1400" b="1">
                <a:solidFill>
                  <a:srgbClr val="000000"/>
                </a:solidFill>
                <a:latin typeface="sans-serif"/>
              </a:rPr>
              <a:t>Cost Curve for Granular Learning Rates</a:t>
            </a:r>
          </a:p>
        </c:rich>
      </c:tx>
      <c:overlay val="0"/>
    </c:title>
    <c:autoTitleDeleted val="0"/>
    <c:plotArea>
      <c:layout/>
      <c:lineChart>
        <c:grouping val="standard"/>
        <c:varyColors val="0"/>
        <c:ser>
          <c:idx val="0"/>
          <c:order val="0"/>
          <c:tx>
            <c:strRef>
              <c:f>'4. NOAK Analysis'!$U$58</c:f>
              <c:strCache>
                <c:ptCount val="1"/>
                <c:pt idx="0">
                  <c:v>Total</c:v>
                </c:pt>
              </c:strCache>
            </c:strRef>
          </c:tx>
          <c:spPr>
            <a:ln cmpd="sng">
              <a:solidFill>
                <a:srgbClr val="1B75BB"/>
              </a:solidFill>
            </a:ln>
          </c:spPr>
          <c:marker>
            <c:symbol val="none"/>
          </c:marker>
          <c:trendline>
            <c:name>Trendlinie für Total</c:name>
            <c:spPr>
              <a:ln w="76200">
                <a:solidFill>
                  <a:srgbClr val="1B75BB">
                    <a:alpha val="20000"/>
                  </a:srgbClr>
                </a:solidFill>
              </a:ln>
            </c:spPr>
            <c:trendlineType val="exp"/>
            <c:dispRSqr val="0"/>
            <c:dispEq val="0"/>
          </c:trendline>
          <c:cat>
            <c:numRef>
              <c:f>'4. NOAK Analysis'!$A$59:$A$89</c:f>
              <c:numCache>
                <c:formatCode>#,##0</c:formatCode>
                <c:ptCount val="31"/>
                <c:pt idx="0" formatCode="General">
                  <c:v>1800</c:v>
                </c:pt>
                <c:pt idx="1">
                  <c:v>2057.9275833955771</c:v>
                </c:pt>
                <c:pt idx="2">
                  <c:v>2352.8144102779779</c:v>
                </c:pt>
                <c:pt idx="3">
                  <c:v>2689.9564852898052</c:v>
                </c:pt>
                <c:pt idx="4">
                  <c:v>3075.4086940065054</c:v>
                </c:pt>
                <c:pt idx="5">
                  <c:v>3516.093545339198</c:v>
                </c:pt>
                <c:pt idx="6">
                  <c:v>4019.9254959737132</c:v>
                </c:pt>
                <c:pt idx="7">
                  <c:v>4595.9530896441393</c:v>
                </c:pt>
                <c:pt idx="8">
                  <c:v>5254.5214639837777</c:v>
                </c:pt>
                <c:pt idx="9">
                  <c:v>6007.4581434868478</c:v>
                </c:pt>
                <c:pt idx="10">
                  <c:v>6868.2854553199832</c:v>
                </c:pt>
                <c:pt idx="11">
                  <c:v>7852.4633828542474</c:v>
                </c:pt>
                <c:pt idx="12">
                  <c:v>8977.6672184330564</c:v>
                </c:pt>
                <c:pt idx="13">
                  <c:v>10264.105001866463</c:v>
                </c:pt>
                <c:pt idx="14">
                  <c:v>11734.880445671948</c:v>
                </c:pt>
                <c:pt idx="15">
                  <c:v>13416.407864998715</c:v>
                </c:pt>
                <c:pt idx="16">
                  <c:v>15338.886564147902</c:v>
                </c:pt>
                <c:pt idx="17">
                  <c:v>17536.84319940877</c:v>
                </c:pt>
                <c:pt idx="18">
                  <c:v>20049.75185874803</c:v>
                </c:pt>
                <c:pt idx="19">
                  <c:v>22922.742994641289</c:v>
                </c:pt>
                <c:pt idx="20">
                  <c:v>26207.413942088915</c:v>
                </c:pt>
                <c:pt idx="21">
                  <c:v>29962.755578272558</c:v>
                </c:pt>
                <c:pt idx="22">
                  <c:v>34256.211766148219</c:v>
                </c:pt>
                <c:pt idx="23">
                  <c:v>39164.890608998081</c:v>
                </c:pt>
                <c:pt idx="24">
                  <c:v>44776.949269404198</c:v>
                </c:pt>
                <c:pt idx="25">
                  <c:v>51193.177223228522</c:v>
                </c:pt>
                <c:pt idx="26">
                  <c:v>58528.806382966766</c:v>
                </c:pt>
                <c:pt idx="27">
                  <c:v>66915.580599292472</c:v>
                </c:pt>
                <c:pt idx="28">
                  <c:v>76504.121707896629</c:v>
                </c:pt>
                <c:pt idx="29">
                  <c:v>87466.634614518247</c:v>
                </c:pt>
                <c:pt idx="30">
                  <c:v>100000</c:v>
                </c:pt>
              </c:numCache>
            </c:numRef>
          </c:cat>
          <c:val>
            <c:numRef>
              <c:f>'4. NOAK Analysis'!$U$59:$U$89</c:f>
              <c:numCache>
                <c:formatCode>_([$€-2]\ * #,##0_);_([$€-2]\ * \(#,##0\);_([$€-2]\ * "-"??_);_(@_)</c:formatCode>
                <c:ptCount val="31"/>
                <c:pt idx="0">
                  <c:v>167.73540423303982</c:v>
                </c:pt>
                <c:pt idx="1">
                  <c:v>165.67690147273512</c:v>
                </c:pt>
                <c:pt idx="2">
                  <c:v>163.72274018392574</c:v>
                </c:pt>
                <c:pt idx="3">
                  <c:v>161.86743867004782</c:v>
                </c:pt>
                <c:pt idx="4">
                  <c:v>160.10580790895597</c:v>
                </c:pt>
                <c:pt idx="5">
                  <c:v>158.43293581583745</c:v>
                </c:pt>
                <c:pt idx="6">
                  <c:v>156.84417235490639</c:v>
                </c:pt>
                <c:pt idx="7">
                  <c:v>155.33511545403994</c:v>
                </c:pt>
                <c:pt idx="8">
                  <c:v>153.90159767899209</c:v>
                </c:pt>
                <c:pt idx="9">
                  <c:v>152.53967362616712</c:v>
                </c:pt>
                <c:pt idx="10">
                  <c:v>151.24560799514708</c:v>
                </c:pt>
                <c:pt idx="11">
                  <c:v>150.01586430426894</c:v>
                </c:pt>
                <c:pt idx="12">
                  <c:v>148.84709421452865</c:v>
                </c:pt>
                <c:pt idx="13">
                  <c:v>147.73612742896287</c:v>
                </c:pt>
                <c:pt idx="14">
                  <c:v>146.67996213643985</c:v>
                </c:pt>
                <c:pt idx="15">
                  <c:v>145.67575597046368</c:v>
                </c:pt>
                <c:pt idx="16">
                  <c:v>144.72081745518801</c:v>
                </c:pt>
                <c:pt idx="17">
                  <c:v>143.81259791233754</c:v>
                </c:pt>
                <c:pt idx="18">
                  <c:v>142.948683804154</c:v>
                </c:pt>
                <c:pt idx="19">
                  <c:v>142.12678948883078</c:v>
                </c:pt>
                <c:pt idx="20">
                  <c:v>141.34475036617016</c:v>
                </c:pt>
                <c:pt idx="21">
                  <c:v>140.60051639240061</c:v>
                </c:pt>
                <c:pt idx="22">
                  <c:v>139.89214594422924</c:v>
                </c:pt>
                <c:pt idx="23">
                  <c:v>139.21780001328125</c:v>
                </c:pt>
                <c:pt idx="24">
                  <c:v>138.57573671309646</c:v>
                </c:pt>
                <c:pt idx="25">
                  <c:v>137.96430608181515</c:v>
                </c:pt>
                <c:pt idx="26">
                  <c:v>137.3819451645991</c:v>
                </c:pt>
                <c:pt idx="27">
                  <c:v>136.82717336069172</c:v>
                </c:pt>
                <c:pt idx="28">
                  <c:v>136.29858802084092</c:v>
                </c:pt>
                <c:pt idx="29">
                  <c:v>135.79486028157558</c:v>
                </c:pt>
                <c:pt idx="30">
                  <c:v>135.31473112356005</c:v>
                </c:pt>
              </c:numCache>
            </c:numRef>
          </c:val>
          <c:smooth val="0"/>
          <c:extLst>
            <c:ext xmlns:c16="http://schemas.microsoft.com/office/drawing/2014/chart" uri="{C3380CC4-5D6E-409C-BE32-E72D297353CC}">
              <c16:uniqueId val="{00000001-C39B-474E-851A-EB50119F3519}"/>
            </c:ext>
          </c:extLst>
        </c:ser>
        <c:dLbls>
          <c:showLegendKey val="0"/>
          <c:showVal val="0"/>
          <c:showCatName val="0"/>
          <c:showSerName val="0"/>
          <c:showPercent val="0"/>
          <c:showBubbleSize val="0"/>
        </c:dLbls>
        <c:smooth val="0"/>
        <c:axId val="1041290564"/>
        <c:axId val="990727203"/>
      </c:lineChart>
      <c:catAx>
        <c:axId val="1041290564"/>
        <c:scaling>
          <c:orientation val="minMax"/>
        </c:scaling>
        <c:delete val="0"/>
        <c:axPos val="b"/>
        <c:title>
          <c:tx>
            <c:rich>
              <a:bodyPr/>
              <a:lstStyle/>
              <a:p>
                <a:pPr lvl="0">
                  <a:defRPr sz="1000" b="0">
                    <a:solidFill>
                      <a:srgbClr val="000000"/>
                    </a:solidFill>
                    <a:latin typeface="sans-serif"/>
                  </a:defRPr>
                </a:pPr>
                <a:r>
                  <a:rPr sz="1000" b="0">
                    <a:solidFill>
                      <a:srgbClr val="000000"/>
                    </a:solidFill>
                    <a:latin typeface="sans-serif"/>
                  </a:rPr>
                  <a:t>Capacity (Tons/ year)</a:t>
                </a:r>
              </a:p>
            </c:rich>
          </c:tx>
          <c:overlay val="0"/>
        </c:title>
        <c:numFmt formatCode="#,##0" sourceLinked="0"/>
        <c:majorTickMark val="none"/>
        <c:minorTickMark val="none"/>
        <c:tickLblPos val="nextTo"/>
        <c:txPr>
          <a:bodyPr/>
          <a:lstStyle/>
          <a:p>
            <a:pPr lvl="0">
              <a:defRPr sz="1000" b="0">
                <a:solidFill>
                  <a:srgbClr val="000000"/>
                </a:solidFill>
                <a:latin typeface="sans-serif"/>
              </a:defRPr>
            </a:pPr>
            <a:endParaRPr lang="en-US"/>
          </a:p>
        </c:txPr>
        <c:crossAx val="990727203"/>
        <c:crosses val="autoZero"/>
        <c:auto val="1"/>
        <c:lblAlgn val="ctr"/>
        <c:lblOffset val="100"/>
        <c:noMultiLvlLbl val="1"/>
      </c:catAx>
      <c:valAx>
        <c:axId val="99072720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000" b="0">
                    <a:solidFill>
                      <a:srgbClr val="000000"/>
                    </a:solidFill>
                    <a:latin typeface="sans-serif"/>
                  </a:defRPr>
                </a:pPr>
                <a:r>
                  <a:rPr sz="1000" b="0">
                    <a:solidFill>
                      <a:srgbClr val="000000"/>
                    </a:solidFill>
                    <a:latin typeface="sans-serif"/>
                  </a:rPr>
                  <a:t>Costs (€/ Ton)</a:t>
                </a:r>
              </a:p>
            </c:rich>
          </c:tx>
          <c:overlay val="0"/>
        </c:title>
        <c:numFmt formatCode="#,##0" sourceLinked="0"/>
        <c:majorTickMark val="none"/>
        <c:minorTickMark val="none"/>
        <c:tickLblPos val="nextTo"/>
        <c:spPr>
          <a:ln/>
        </c:spPr>
        <c:txPr>
          <a:bodyPr/>
          <a:lstStyle/>
          <a:p>
            <a:pPr lvl="0">
              <a:defRPr sz="1000" b="0">
                <a:solidFill>
                  <a:srgbClr val="000000"/>
                </a:solidFill>
                <a:latin typeface="+mn-lt"/>
              </a:defRPr>
            </a:pPr>
            <a:endParaRPr lang="en-US"/>
          </a:p>
        </c:txPr>
        <c:crossAx val="1041290564"/>
        <c:crosses val="autoZero"/>
        <c:crossBetween val="between"/>
      </c:valAx>
    </c:plotArea>
    <c:plotVisOnly val="0"/>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a:solidFill>
                  <a:srgbClr val="000000"/>
                </a:solidFill>
                <a:latin typeface="sans-serif"/>
              </a:defRPr>
            </a:pPr>
            <a:r>
              <a:rPr sz="1400" b="1">
                <a:solidFill>
                  <a:srgbClr val="000000"/>
                </a:solidFill>
                <a:latin typeface="sans-serif"/>
              </a:rPr>
              <a:t>Cost Curves at Average Learning Rates</a:t>
            </a:r>
          </a:p>
        </c:rich>
      </c:tx>
      <c:overlay val="0"/>
    </c:title>
    <c:autoTitleDeleted val="0"/>
    <c:plotArea>
      <c:layout/>
      <c:lineChart>
        <c:grouping val="standard"/>
        <c:varyColors val="1"/>
        <c:ser>
          <c:idx val="0"/>
          <c:order val="0"/>
          <c:tx>
            <c:strRef>
              <c:f>'4. NOAK Analysis'!$B$92</c:f>
              <c:strCache>
                <c:ptCount val="1"/>
                <c:pt idx="0">
                  <c:v>LR at 0,05</c:v>
                </c:pt>
              </c:strCache>
            </c:strRef>
          </c:tx>
          <c:spPr>
            <a:ln cmpd="sng">
              <a:solidFill>
                <a:srgbClr val="1B75BB"/>
              </a:solidFill>
            </a:ln>
          </c:spPr>
          <c:marker>
            <c:symbol val="none"/>
          </c:marker>
          <c:cat>
            <c:numRef>
              <c:f>'4. NOAK Analysis'!$A$93:$A$123</c:f>
              <c:numCache>
                <c:formatCode>#,##0</c:formatCode>
                <c:ptCount val="31"/>
                <c:pt idx="0" formatCode="General">
                  <c:v>1800</c:v>
                </c:pt>
                <c:pt idx="1">
                  <c:v>2057.9275833955771</c:v>
                </c:pt>
                <c:pt idx="2">
                  <c:v>2352.8144102779779</c:v>
                </c:pt>
                <c:pt idx="3">
                  <c:v>2689.9564852898052</c:v>
                </c:pt>
                <c:pt idx="4">
                  <c:v>3075.4086940065054</c:v>
                </c:pt>
                <c:pt idx="5">
                  <c:v>3516.093545339198</c:v>
                </c:pt>
                <c:pt idx="6">
                  <c:v>4019.9254959737132</c:v>
                </c:pt>
                <c:pt idx="7">
                  <c:v>4595.9530896441393</c:v>
                </c:pt>
                <c:pt idx="8">
                  <c:v>5254.5214639837777</c:v>
                </c:pt>
                <c:pt idx="9">
                  <c:v>6007.4581434868478</c:v>
                </c:pt>
                <c:pt idx="10">
                  <c:v>6868.2854553199832</c:v>
                </c:pt>
                <c:pt idx="11">
                  <c:v>7852.4633828542474</c:v>
                </c:pt>
                <c:pt idx="12">
                  <c:v>8977.6672184330564</c:v>
                </c:pt>
                <c:pt idx="13">
                  <c:v>10264.105001866463</c:v>
                </c:pt>
                <c:pt idx="14">
                  <c:v>11734.880445671948</c:v>
                </c:pt>
                <c:pt idx="15">
                  <c:v>13416.407864998715</c:v>
                </c:pt>
                <c:pt idx="16">
                  <c:v>15338.886564147902</c:v>
                </c:pt>
                <c:pt idx="17">
                  <c:v>17536.84319940877</c:v>
                </c:pt>
                <c:pt idx="18">
                  <c:v>20049.75185874803</c:v>
                </c:pt>
                <c:pt idx="19">
                  <c:v>22922.742994641289</c:v>
                </c:pt>
                <c:pt idx="20">
                  <c:v>26207.413942088915</c:v>
                </c:pt>
                <c:pt idx="21">
                  <c:v>29962.755578272558</c:v>
                </c:pt>
                <c:pt idx="22">
                  <c:v>34256.211766148219</c:v>
                </c:pt>
                <c:pt idx="23">
                  <c:v>39164.890608998081</c:v>
                </c:pt>
                <c:pt idx="24">
                  <c:v>44776.949269404198</c:v>
                </c:pt>
                <c:pt idx="25">
                  <c:v>51193.177223228522</c:v>
                </c:pt>
                <c:pt idx="26">
                  <c:v>58528.806382966766</c:v>
                </c:pt>
                <c:pt idx="27">
                  <c:v>66915.580599292472</c:v>
                </c:pt>
                <c:pt idx="28">
                  <c:v>76504.121707896629</c:v>
                </c:pt>
                <c:pt idx="29">
                  <c:v>87466.634614518247</c:v>
                </c:pt>
                <c:pt idx="30">
                  <c:v>100000</c:v>
                </c:pt>
              </c:numCache>
            </c:numRef>
          </c:cat>
          <c:val>
            <c:numRef>
              <c:f>'4. NOAK Analysis'!$B$93:$B$123</c:f>
              <c:numCache>
                <c:formatCode>General</c:formatCode>
                <c:ptCount val="31"/>
                <c:pt idx="0">
                  <c:v>167.73540423303982</c:v>
                </c:pt>
                <c:pt idx="1">
                  <c:v>166.08141819046961</c:v>
                </c:pt>
                <c:pt idx="2">
                  <c:v>164.44374158383226</c:v>
                </c:pt>
                <c:pt idx="3">
                  <c:v>162.82221359091193</c:v>
                </c:pt>
                <c:pt idx="4">
                  <c:v>161.21667497530993</c:v>
                </c:pt>
                <c:pt idx="5">
                  <c:v>159.62696807080764</c:v>
                </c:pt>
                <c:pt idx="6">
                  <c:v>158.05293676588346</c:v>
                </c:pt>
                <c:pt idx="7">
                  <c:v>156.49442648838232</c:v>
                </c:pt>
                <c:pt idx="8">
                  <c:v>154.95128419033648</c:v>
                </c:pt>
                <c:pt idx="9">
                  <c:v>153.4233583329362</c:v>
                </c:pt>
                <c:pt idx="10">
                  <c:v>151.91049887164817</c:v>
                </c:pt>
                <c:pt idx="11">
                  <c:v>150.41255724148104</c:v>
                </c:pt>
                <c:pt idx="12">
                  <c:v>148.92938634239604</c:v>
                </c:pt>
                <c:pt idx="13">
                  <c:v>147.46084052486165</c:v>
                </c:pt>
                <c:pt idx="14">
                  <c:v>146.00677557555051</c:v>
                </c:pt>
                <c:pt idx="15">
                  <c:v>144.56704870317759</c:v>
                </c:pt>
                <c:pt idx="16">
                  <c:v>143.14151852447768</c:v>
                </c:pt>
                <c:pt idx="17">
                  <c:v>141.73004505032154</c:v>
                </c:pt>
                <c:pt idx="18">
                  <c:v>140.33248967196866</c:v>
                </c:pt>
                <c:pt idx="19">
                  <c:v>138.94871514745569</c:v>
                </c:pt>
                <c:pt idx="20">
                  <c:v>137.5785855881191</c:v>
                </c:pt>
                <c:pt idx="21">
                  <c:v>136.22196644525076</c:v>
                </c:pt>
                <c:pt idx="22">
                  <c:v>134.87872449688496</c:v>
                </c:pt>
                <c:pt idx="23">
                  <c:v>133.54872783471586</c:v>
                </c:pt>
                <c:pt idx="24">
                  <c:v>132.23184585114404</c:v>
                </c:pt>
                <c:pt idx="25">
                  <c:v>130.92794922645038</c:v>
                </c:pt>
                <c:pt idx="26">
                  <c:v>129.63690991609687</c:v>
                </c:pt>
                <c:pt idx="27">
                  <c:v>128.35860113815238</c:v>
                </c:pt>
                <c:pt idx="28">
                  <c:v>127.09289736084261</c:v>
                </c:pt>
                <c:pt idx="29">
                  <c:v>125.83967429022245</c:v>
                </c:pt>
                <c:pt idx="30">
                  <c:v>124.59880885797033</c:v>
                </c:pt>
              </c:numCache>
            </c:numRef>
          </c:val>
          <c:smooth val="0"/>
          <c:extLst>
            <c:ext xmlns:c16="http://schemas.microsoft.com/office/drawing/2014/chart" uri="{C3380CC4-5D6E-409C-BE32-E72D297353CC}">
              <c16:uniqueId val="{00000000-F411-48D3-BE81-C7BF07E06BD3}"/>
            </c:ext>
          </c:extLst>
        </c:ser>
        <c:ser>
          <c:idx val="1"/>
          <c:order val="1"/>
          <c:tx>
            <c:strRef>
              <c:f>'4. NOAK Analysis'!$C$92</c:f>
              <c:strCache>
                <c:ptCount val="1"/>
                <c:pt idx="0">
                  <c:v>LR at 0,1</c:v>
                </c:pt>
              </c:strCache>
            </c:strRef>
          </c:tx>
          <c:spPr>
            <a:ln cmpd="sng">
              <a:solidFill>
                <a:srgbClr val="ED1C24"/>
              </a:solidFill>
            </a:ln>
          </c:spPr>
          <c:marker>
            <c:symbol val="none"/>
          </c:marker>
          <c:cat>
            <c:numRef>
              <c:f>'4. NOAK Analysis'!$A$93:$A$123</c:f>
              <c:numCache>
                <c:formatCode>#,##0</c:formatCode>
                <c:ptCount val="31"/>
                <c:pt idx="0" formatCode="General">
                  <c:v>1800</c:v>
                </c:pt>
                <c:pt idx="1">
                  <c:v>2057.9275833955771</c:v>
                </c:pt>
                <c:pt idx="2">
                  <c:v>2352.8144102779779</c:v>
                </c:pt>
                <c:pt idx="3">
                  <c:v>2689.9564852898052</c:v>
                </c:pt>
                <c:pt idx="4">
                  <c:v>3075.4086940065054</c:v>
                </c:pt>
                <c:pt idx="5">
                  <c:v>3516.093545339198</c:v>
                </c:pt>
                <c:pt idx="6">
                  <c:v>4019.9254959737132</c:v>
                </c:pt>
                <c:pt idx="7">
                  <c:v>4595.9530896441393</c:v>
                </c:pt>
                <c:pt idx="8">
                  <c:v>5254.5214639837777</c:v>
                </c:pt>
                <c:pt idx="9">
                  <c:v>6007.4581434868478</c:v>
                </c:pt>
                <c:pt idx="10">
                  <c:v>6868.2854553199832</c:v>
                </c:pt>
                <c:pt idx="11">
                  <c:v>7852.4633828542474</c:v>
                </c:pt>
                <c:pt idx="12">
                  <c:v>8977.6672184330564</c:v>
                </c:pt>
                <c:pt idx="13">
                  <c:v>10264.105001866463</c:v>
                </c:pt>
                <c:pt idx="14">
                  <c:v>11734.880445671948</c:v>
                </c:pt>
                <c:pt idx="15">
                  <c:v>13416.407864998715</c:v>
                </c:pt>
                <c:pt idx="16">
                  <c:v>15338.886564147902</c:v>
                </c:pt>
                <c:pt idx="17">
                  <c:v>17536.84319940877</c:v>
                </c:pt>
                <c:pt idx="18">
                  <c:v>20049.75185874803</c:v>
                </c:pt>
                <c:pt idx="19">
                  <c:v>22922.742994641289</c:v>
                </c:pt>
                <c:pt idx="20">
                  <c:v>26207.413942088915</c:v>
                </c:pt>
                <c:pt idx="21">
                  <c:v>29962.755578272558</c:v>
                </c:pt>
                <c:pt idx="22">
                  <c:v>34256.211766148219</c:v>
                </c:pt>
                <c:pt idx="23">
                  <c:v>39164.890608998081</c:v>
                </c:pt>
                <c:pt idx="24">
                  <c:v>44776.949269404198</c:v>
                </c:pt>
                <c:pt idx="25">
                  <c:v>51193.177223228522</c:v>
                </c:pt>
                <c:pt idx="26">
                  <c:v>58528.806382966766</c:v>
                </c:pt>
                <c:pt idx="27">
                  <c:v>66915.580599292472</c:v>
                </c:pt>
                <c:pt idx="28">
                  <c:v>76504.121707896629</c:v>
                </c:pt>
                <c:pt idx="29">
                  <c:v>87466.634614518247</c:v>
                </c:pt>
                <c:pt idx="30">
                  <c:v>100000</c:v>
                </c:pt>
              </c:numCache>
            </c:numRef>
          </c:cat>
          <c:val>
            <c:numRef>
              <c:f>'4. NOAK Analysis'!$C$93:$C$123</c:f>
              <c:numCache>
                <c:formatCode>General</c:formatCode>
                <c:ptCount val="31"/>
                <c:pt idx="0">
                  <c:v>167.73540423303982</c:v>
                </c:pt>
                <c:pt idx="1">
                  <c:v>164.35563820361912</c:v>
                </c:pt>
                <c:pt idx="2">
                  <c:v>161.04397239708135</c:v>
                </c:pt>
                <c:pt idx="3">
                  <c:v>157.7990346354957</c:v>
                </c:pt>
                <c:pt idx="4">
                  <c:v>154.61948038947935</c:v>
                </c:pt>
                <c:pt idx="5">
                  <c:v>151.50399222109596</c:v>
                </c:pt>
                <c:pt idx="6">
                  <c:v>148.45127923797955</c:v>
                </c:pt>
                <c:pt idx="7">
                  <c:v>145.46007655845759</c:v>
                </c:pt>
                <c:pt idx="8">
                  <c:v>142.52914478745126</c:v>
                </c:pt>
                <c:pt idx="9">
                  <c:v>139.65726950293617</c:v>
                </c:pt>
                <c:pt idx="10">
                  <c:v>136.84326075275067</c:v>
                </c:pt>
                <c:pt idx="11">
                  <c:v>134.08595256154288</c:v>
                </c:pt>
                <c:pt idx="12">
                  <c:v>131.3842024476528</c:v>
                </c:pt>
                <c:pt idx="13">
                  <c:v>128.73689094972849</c:v>
                </c:pt>
                <c:pt idx="14">
                  <c:v>126.14292116288115</c:v>
                </c:pt>
                <c:pt idx="15">
                  <c:v>123.60121828418609</c:v>
                </c:pt>
                <c:pt idx="16">
                  <c:v>121.11072916734155</c:v>
                </c:pt>
                <c:pt idx="17">
                  <c:v>118.67042188630109</c:v>
                </c:pt>
                <c:pt idx="18">
                  <c:v>116.27928530769832</c:v>
                </c:pt>
                <c:pt idx="19">
                  <c:v>113.93632867188708</c:v>
                </c:pt>
                <c:pt idx="20">
                  <c:v>111.64058118242355</c:v>
                </c:pt>
                <c:pt idx="21">
                  <c:v>109.39109160381962</c:v>
                </c:pt>
                <c:pt idx="22">
                  <c:v>107.18692786740186</c:v>
                </c:pt>
                <c:pt idx="23">
                  <c:v>105.0271766851118</c:v>
                </c:pt>
                <c:pt idx="24">
                  <c:v>102.91094317108789</c:v>
                </c:pt>
                <c:pt idx="25">
                  <c:v>100.83735047087262</c:v>
                </c:pt>
                <c:pt idx="26">
                  <c:v>98.805539398090687</c:v>
                </c:pt>
                <c:pt idx="27">
                  <c:v>96.814668078447852</c:v>
                </c:pt>
                <c:pt idx="28">
                  <c:v>94.86391160090318</c:v>
                </c:pt>
                <c:pt idx="29">
                  <c:v>92.952461675869714</c:v>
                </c:pt>
                <c:pt idx="30">
                  <c:v>91.079526300302419</c:v>
                </c:pt>
              </c:numCache>
            </c:numRef>
          </c:val>
          <c:smooth val="0"/>
          <c:extLst>
            <c:ext xmlns:c16="http://schemas.microsoft.com/office/drawing/2014/chart" uri="{C3380CC4-5D6E-409C-BE32-E72D297353CC}">
              <c16:uniqueId val="{00000001-F411-48D3-BE81-C7BF07E06BD3}"/>
            </c:ext>
          </c:extLst>
        </c:ser>
        <c:ser>
          <c:idx val="2"/>
          <c:order val="2"/>
          <c:tx>
            <c:strRef>
              <c:f>'4. NOAK Analysis'!$D$92</c:f>
              <c:strCache>
                <c:ptCount val="1"/>
                <c:pt idx="0">
                  <c:v>LR at 0,15</c:v>
                </c:pt>
              </c:strCache>
            </c:strRef>
          </c:tx>
          <c:spPr>
            <a:ln cmpd="sng">
              <a:solidFill>
                <a:srgbClr val="1A365F"/>
              </a:solidFill>
            </a:ln>
          </c:spPr>
          <c:marker>
            <c:symbol val="none"/>
          </c:marker>
          <c:cat>
            <c:numRef>
              <c:f>'4. NOAK Analysis'!$A$93:$A$123</c:f>
              <c:numCache>
                <c:formatCode>#,##0</c:formatCode>
                <c:ptCount val="31"/>
                <c:pt idx="0" formatCode="General">
                  <c:v>1800</c:v>
                </c:pt>
                <c:pt idx="1">
                  <c:v>2057.9275833955771</c:v>
                </c:pt>
                <c:pt idx="2">
                  <c:v>2352.8144102779779</c:v>
                </c:pt>
                <c:pt idx="3">
                  <c:v>2689.9564852898052</c:v>
                </c:pt>
                <c:pt idx="4">
                  <c:v>3075.4086940065054</c:v>
                </c:pt>
                <c:pt idx="5">
                  <c:v>3516.093545339198</c:v>
                </c:pt>
                <c:pt idx="6">
                  <c:v>4019.9254959737132</c:v>
                </c:pt>
                <c:pt idx="7">
                  <c:v>4595.9530896441393</c:v>
                </c:pt>
                <c:pt idx="8">
                  <c:v>5254.5214639837777</c:v>
                </c:pt>
                <c:pt idx="9">
                  <c:v>6007.4581434868478</c:v>
                </c:pt>
                <c:pt idx="10">
                  <c:v>6868.2854553199832</c:v>
                </c:pt>
                <c:pt idx="11">
                  <c:v>7852.4633828542474</c:v>
                </c:pt>
                <c:pt idx="12">
                  <c:v>8977.6672184330564</c:v>
                </c:pt>
                <c:pt idx="13">
                  <c:v>10264.105001866463</c:v>
                </c:pt>
                <c:pt idx="14">
                  <c:v>11734.880445671948</c:v>
                </c:pt>
                <c:pt idx="15">
                  <c:v>13416.407864998715</c:v>
                </c:pt>
                <c:pt idx="16">
                  <c:v>15338.886564147902</c:v>
                </c:pt>
                <c:pt idx="17">
                  <c:v>17536.84319940877</c:v>
                </c:pt>
                <c:pt idx="18">
                  <c:v>20049.75185874803</c:v>
                </c:pt>
                <c:pt idx="19">
                  <c:v>22922.742994641289</c:v>
                </c:pt>
                <c:pt idx="20">
                  <c:v>26207.413942088915</c:v>
                </c:pt>
                <c:pt idx="21">
                  <c:v>29962.755578272558</c:v>
                </c:pt>
                <c:pt idx="22">
                  <c:v>34256.211766148219</c:v>
                </c:pt>
                <c:pt idx="23">
                  <c:v>39164.890608998081</c:v>
                </c:pt>
                <c:pt idx="24">
                  <c:v>44776.949269404198</c:v>
                </c:pt>
                <c:pt idx="25">
                  <c:v>51193.177223228522</c:v>
                </c:pt>
                <c:pt idx="26">
                  <c:v>58528.806382966766</c:v>
                </c:pt>
                <c:pt idx="27">
                  <c:v>66915.580599292472</c:v>
                </c:pt>
                <c:pt idx="28">
                  <c:v>76504.121707896629</c:v>
                </c:pt>
                <c:pt idx="29">
                  <c:v>87466.634614518247</c:v>
                </c:pt>
                <c:pt idx="30">
                  <c:v>100000</c:v>
                </c:pt>
              </c:numCache>
            </c:numRef>
          </c:cat>
          <c:val>
            <c:numRef>
              <c:f>'4. NOAK Analysis'!$D$93:$D$123</c:f>
              <c:numCache>
                <c:formatCode>General</c:formatCode>
                <c:ptCount val="31"/>
                <c:pt idx="0">
                  <c:v>167.73540423303982</c:v>
                </c:pt>
                <c:pt idx="1">
                  <c:v>162.55068618987229</c:v>
                </c:pt>
                <c:pt idx="2">
                  <c:v>157.52622829756592</c:v>
                </c:pt>
                <c:pt idx="3">
                  <c:v>152.65707689890348</c:v>
                </c:pt>
                <c:pt idx="4">
                  <c:v>147.93843145470538</c:v>
                </c:pt>
                <c:pt idx="5">
                  <c:v>143.36563981093607</c:v>
                </c:pt>
                <c:pt idx="6">
                  <c:v>138.93419361210425</c:v>
                </c:pt>
                <c:pt idx="7">
                  <c:v>134.63972385643581</c:v>
                </c:pt>
                <c:pt idx="8">
                  <c:v>130.47799658843635</c:v>
                </c:pt>
                <c:pt idx="9">
                  <c:v>126.44490872459727</c:v>
                </c:pt>
                <c:pt idx="10">
                  <c:v>122.53648400812969</c:v>
                </c:pt>
                <c:pt idx="11">
                  <c:v>118.74886908873798</c:v>
                </c:pt>
                <c:pt idx="12">
                  <c:v>115.07832972356773</c:v>
                </c:pt>
                <c:pt idx="13">
                  <c:v>111.52124709558286</c:v>
                </c:pt>
                <c:pt idx="14">
                  <c:v>108.07411424574219</c:v>
                </c:pt>
                <c:pt idx="15">
                  <c:v>104.73353261545763</c:v>
                </c:pt>
                <c:pt idx="16">
                  <c:v>101.49620869592533</c:v>
                </c:pt>
                <c:pt idx="17">
                  <c:v>98.358950781026493</c:v>
                </c:pt>
                <c:pt idx="18">
                  <c:v>95.318665820596138</c:v>
                </c:pt>
                <c:pt idx="19">
                  <c:v>92.37235637095786</c:v>
                </c:pt>
                <c:pt idx="20">
                  <c:v>89.517117639717668</c:v>
                </c:pt>
                <c:pt idx="21">
                  <c:v>86.750134621903626</c:v>
                </c:pt>
                <c:pt idx="22">
                  <c:v>84.068679324627752</c:v>
                </c:pt>
                <c:pt idx="23">
                  <c:v>81.470108077533766</c:v>
                </c:pt>
                <c:pt idx="24">
                  <c:v>78.95185892637933</c:v>
                </c:pt>
                <c:pt idx="25">
                  <c:v>76.511449107182742</c:v>
                </c:pt>
                <c:pt idx="26">
                  <c:v>74.146472598444205</c:v>
                </c:pt>
                <c:pt idx="27">
                  <c:v>71.854597749027889</c:v>
                </c:pt>
                <c:pt idx="28">
                  <c:v>69.63356497936681</c:v>
                </c:pt>
                <c:pt idx="29">
                  <c:v>67.481184553723267</c:v>
                </c:pt>
                <c:pt idx="30">
                  <c:v>65.395334421309187</c:v>
                </c:pt>
              </c:numCache>
            </c:numRef>
          </c:val>
          <c:smooth val="0"/>
          <c:extLst>
            <c:ext xmlns:c16="http://schemas.microsoft.com/office/drawing/2014/chart" uri="{C3380CC4-5D6E-409C-BE32-E72D297353CC}">
              <c16:uniqueId val="{00000002-F411-48D3-BE81-C7BF07E06BD3}"/>
            </c:ext>
          </c:extLst>
        </c:ser>
        <c:ser>
          <c:idx val="3"/>
          <c:order val="3"/>
          <c:tx>
            <c:strRef>
              <c:f>'4. NOAK Analysis'!$E$92</c:f>
              <c:strCache>
                <c:ptCount val="1"/>
                <c:pt idx="0">
                  <c:v>LR at 0,2</c:v>
                </c:pt>
              </c:strCache>
            </c:strRef>
          </c:tx>
          <c:spPr>
            <a:ln cmpd="sng">
              <a:solidFill>
                <a:srgbClr val="A5A5A5"/>
              </a:solidFill>
            </a:ln>
          </c:spPr>
          <c:marker>
            <c:symbol val="none"/>
          </c:marker>
          <c:cat>
            <c:numRef>
              <c:f>'4. NOAK Analysis'!$A$93:$A$123</c:f>
              <c:numCache>
                <c:formatCode>#,##0</c:formatCode>
                <c:ptCount val="31"/>
                <c:pt idx="0" formatCode="General">
                  <c:v>1800</c:v>
                </c:pt>
                <c:pt idx="1">
                  <c:v>2057.9275833955771</c:v>
                </c:pt>
                <c:pt idx="2">
                  <c:v>2352.8144102779779</c:v>
                </c:pt>
                <c:pt idx="3">
                  <c:v>2689.9564852898052</c:v>
                </c:pt>
                <c:pt idx="4">
                  <c:v>3075.4086940065054</c:v>
                </c:pt>
                <c:pt idx="5">
                  <c:v>3516.093545339198</c:v>
                </c:pt>
                <c:pt idx="6">
                  <c:v>4019.9254959737132</c:v>
                </c:pt>
                <c:pt idx="7">
                  <c:v>4595.9530896441393</c:v>
                </c:pt>
                <c:pt idx="8">
                  <c:v>5254.5214639837777</c:v>
                </c:pt>
                <c:pt idx="9">
                  <c:v>6007.4581434868478</c:v>
                </c:pt>
                <c:pt idx="10">
                  <c:v>6868.2854553199832</c:v>
                </c:pt>
                <c:pt idx="11">
                  <c:v>7852.4633828542474</c:v>
                </c:pt>
                <c:pt idx="12">
                  <c:v>8977.6672184330564</c:v>
                </c:pt>
                <c:pt idx="13">
                  <c:v>10264.105001866463</c:v>
                </c:pt>
                <c:pt idx="14">
                  <c:v>11734.880445671948</c:v>
                </c:pt>
                <c:pt idx="15">
                  <c:v>13416.407864998715</c:v>
                </c:pt>
                <c:pt idx="16">
                  <c:v>15338.886564147902</c:v>
                </c:pt>
                <c:pt idx="17">
                  <c:v>17536.84319940877</c:v>
                </c:pt>
                <c:pt idx="18">
                  <c:v>20049.75185874803</c:v>
                </c:pt>
                <c:pt idx="19">
                  <c:v>22922.742994641289</c:v>
                </c:pt>
                <c:pt idx="20">
                  <c:v>26207.413942088915</c:v>
                </c:pt>
                <c:pt idx="21">
                  <c:v>29962.755578272558</c:v>
                </c:pt>
                <c:pt idx="22">
                  <c:v>34256.211766148219</c:v>
                </c:pt>
                <c:pt idx="23">
                  <c:v>39164.890608998081</c:v>
                </c:pt>
                <c:pt idx="24">
                  <c:v>44776.949269404198</c:v>
                </c:pt>
                <c:pt idx="25">
                  <c:v>51193.177223228522</c:v>
                </c:pt>
                <c:pt idx="26">
                  <c:v>58528.806382966766</c:v>
                </c:pt>
                <c:pt idx="27">
                  <c:v>66915.580599292472</c:v>
                </c:pt>
                <c:pt idx="28">
                  <c:v>76504.121707896629</c:v>
                </c:pt>
                <c:pt idx="29">
                  <c:v>87466.634614518247</c:v>
                </c:pt>
                <c:pt idx="30">
                  <c:v>100000</c:v>
                </c:pt>
              </c:numCache>
            </c:numRef>
          </c:cat>
          <c:val>
            <c:numRef>
              <c:f>'4. NOAK Analysis'!$E$93:$E$123</c:f>
              <c:numCache>
                <c:formatCode>General</c:formatCode>
                <c:ptCount val="31"/>
                <c:pt idx="0">
                  <c:v>167.73540423303982</c:v>
                </c:pt>
                <c:pt idx="1">
                  <c:v>160.65793470195197</c:v>
                </c:pt>
                <c:pt idx="2">
                  <c:v>153.87909368755984</c:v>
                </c:pt>
                <c:pt idx="3">
                  <c:v>147.38628078366008</c:v>
                </c:pt>
                <c:pt idx="4">
                  <c:v>141.16742724873507</c:v>
                </c:pt>
                <c:pt idx="5">
                  <c:v>135.21097357276039</c:v>
                </c:pt>
                <c:pt idx="6">
                  <c:v>129.50584799056418</c:v>
                </c:pt>
                <c:pt idx="7">
                  <c:v>124.04144590179888</c:v>
                </c:pt>
                <c:pt idx="8">
                  <c:v>118.80761015927206</c:v>
                </c:pt>
                <c:pt idx="9">
                  <c:v>113.7946121889963</c:v>
                </c:pt>
                <c:pt idx="10">
                  <c:v>108.99313390686423</c:v>
                </c:pt>
                <c:pt idx="11">
                  <c:v>104.3942503983362</c:v>
                </c:pt>
                <c:pt idx="12">
                  <c:v>99.989413328945162</c:v>
                </c:pt>
                <c:pt idx="13">
                  <c:v>95.770435054783235</c:v>
                </c:pt>
                <c:pt idx="14">
                  <c:v>91.729473403434127</c:v>
                </c:pt>
                <c:pt idx="15">
                  <c:v>87.859017097062647</c:v>
                </c:pt>
                <c:pt idx="16">
                  <c:v>84.151871790566233</c:v>
                </c:pt>
                <c:pt idx="17">
                  <c:v>80.601146698836146</c:v>
                </c:pt>
                <c:pt idx="18">
                  <c:v>77.200241788271086</c:v>
                </c:pt>
                <c:pt idx="19">
                  <c:v>73.942835508735726</c:v>
                </c:pt>
                <c:pt idx="20">
                  <c:v>70.822873043159632</c:v>
                </c:pt>
                <c:pt idx="21">
                  <c:v>67.834555052935755</c:v>
                </c:pt>
                <c:pt idx="22">
                  <c:v>64.972326898198403</c:v>
                </c:pt>
                <c:pt idx="23">
                  <c:v>62.230868312943436</c:v>
                </c:pt>
                <c:pt idx="24">
                  <c:v>59.60508351579896</c:v>
                </c:pt>
                <c:pt idx="25">
                  <c:v>57.090091738064764</c:v>
                </c:pt>
                <c:pt idx="26">
                  <c:v>54.681218151413972</c:v>
                </c:pt>
                <c:pt idx="27">
                  <c:v>52.373985178393404</c:v>
                </c:pt>
                <c:pt idx="28">
                  <c:v>50.164104169571104</c:v>
                </c:pt>
                <c:pt idx="29">
                  <c:v>48.047467431860106</c:v>
                </c:pt>
                <c:pt idx="30">
                  <c:v>46.020140593201241</c:v>
                </c:pt>
              </c:numCache>
            </c:numRef>
          </c:val>
          <c:smooth val="0"/>
          <c:extLst>
            <c:ext xmlns:c16="http://schemas.microsoft.com/office/drawing/2014/chart" uri="{C3380CC4-5D6E-409C-BE32-E72D297353CC}">
              <c16:uniqueId val="{00000003-F411-48D3-BE81-C7BF07E06BD3}"/>
            </c:ext>
          </c:extLst>
        </c:ser>
        <c:ser>
          <c:idx val="4"/>
          <c:order val="4"/>
          <c:tx>
            <c:strRef>
              <c:f>'4. NOAK Analysis'!$F$92</c:f>
              <c:strCache>
                <c:ptCount val="1"/>
                <c:pt idx="0">
                  <c:v>LR at 0,25</c:v>
                </c:pt>
              </c:strCache>
            </c:strRef>
          </c:tx>
          <c:spPr>
            <a:ln cmpd="sng">
              <a:solidFill>
                <a:srgbClr val="FFC000"/>
              </a:solidFill>
            </a:ln>
          </c:spPr>
          <c:marker>
            <c:symbol val="none"/>
          </c:marker>
          <c:cat>
            <c:numRef>
              <c:f>'4. NOAK Analysis'!$A$93:$A$123</c:f>
              <c:numCache>
                <c:formatCode>#,##0</c:formatCode>
                <c:ptCount val="31"/>
                <c:pt idx="0" formatCode="General">
                  <c:v>1800</c:v>
                </c:pt>
                <c:pt idx="1">
                  <c:v>2057.9275833955771</c:v>
                </c:pt>
                <c:pt idx="2">
                  <c:v>2352.8144102779779</c:v>
                </c:pt>
                <c:pt idx="3">
                  <c:v>2689.9564852898052</c:v>
                </c:pt>
                <c:pt idx="4">
                  <c:v>3075.4086940065054</c:v>
                </c:pt>
                <c:pt idx="5">
                  <c:v>3516.093545339198</c:v>
                </c:pt>
                <c:pt idx="6">
                  <c:v>4019.9254959737132</c:v>
                </c:pt>
                <c:pt idx="7">
                  <c:v>4595.9530896441393</c:v>
                </c:pt>
                <c:pt idx="8">
                  <c:v>5254.5214639837777</c:v>
                </c:pt>
                <c:pt idx="9">
                  <c:v>6007.4581434868478</c:v>
                </c:pt>
                <c:pt idx="10">
                  <c:v>6868.2854553199832</c:v>
                </c:pt>
                <c:pt idx="11">
                  <c:v>7852.4633828542474</c:v>
                </c:pt>
                <c:pt idx="12">
                  <c:v>8977.6672184330564</c:v>
                </c:pt>
                <c:pt idx="13">
                  <c:v>10264.105001866463</c:v>
                </c:pt>
                <c:pt idx="14">
                  <c:v>11734.880445671948</c:v>
                </c:pt>
                <c:pt idx="15">
                  <c:v>13416.407864998715</c:v>
                </c:pt>
                <c:pt idx="16">
                  <c:v>15338.886564147902</c:v>
                </c:pt>
                <c:pt idx="17">
                  <c:v>17536.84319940877</c:v>
                </c:pt>
                <c:pt idx="18">
                  <c:v>20049.75185874803</c:v>
                </c:pt>
                <c:pt idx="19">
                  <c:v>22922.742994641289</c:v>
                </c:pt>
                <c:pt idx="20">
                  <c:v>26207.413942088915</c:v>
                </c:pt>
                <c:pt idx="21">
                  <c:v>29962.755578272558</c:v>
                </c:pt>
                <c:pt idx="22">
                  <c:v>34256.211766148219</c:v>
                </c:pt>
                <c:pt idx="23">
                  <c:v>39164.890608998081</c:v>
                </c:pt>
                <c:pt idx="24">
                  <c:v>44776.949269404198</c:v>
                </c:pt>
                <c:pt idx="25">
                  <c:v>51193.177223228522</c:v>
                </c:pt>
                <c:pt idx="26">
                  <c:v>58528.806382966766</c:v>
                </c:pt>
                <c:pt idx="27">
                  <c:v>66915.580599292472</c:v>
                </c:pt>
                <c:pt idx="28">
                  <c:v>76504.121707896629</c:v>
                </c:pt>
                <c:pt idx="29">
                  <c:v>87466.634614518247</c:v>
                </c:pt>
                <c:pt idx="30">
                  <c:v>100000</c:v>
                </c:pt>
              </c:numCache>
            </c:numRef>
          </c:cat>
          <c:val>
            <c:numRef>
              <c:f>'4. NOAK Analysis'!$F$93:$F$123</c:f>
              <c:numCache>
                <c:formatCode>General</c:formatCode>
                <c:ptCount val="31"/>
                <c:pt idx="0">
                  <c:v>167.73540423303982</c:v>
                </c:pt>
                <c:pt idx="1">
                  <c:v>158.66720144597426</c:v>
                </c:pt>
                <c:pt idx="2">
                  <c:v>150.08924877732193</c:v>
                </c:pt>
                <c:pt idx="3">
                  <c:v>141.97504205814801</c:v>
                </c:pt>
                <c:pt idx="4">
                  <c:v>134.29951000233498</c:v>
                </c:pt>
                <c:pt idx="5">
                  <c:v>127.03893674129159</c:v>
                </c:pt>
                <c:pt idx="6">
                  <c:v>120.17088854663199</c:v>
                </c:pt>
                <c:pt idx="7">
                  <c:v>113.67414451441374</c:v>
                </c:pt>
                <c:pt idx="8">
                  <c:v>107.52863099676213</c:v>
                </c:pt>
                <c:pt idx="9">
                  <c:v>101.71535957828773</c:v>
                </c:pt>
                <c:pt idx="10">
                  <c:v>96.216368405656581</c:v>
                </c:pt>
                <c:pt idx="11">
                  <c:v>91.014666689033277</c:v>
                </c:pt>
                <c:pt idx="12">
                  <c:v>86.094182203917256</c:v>
                </c:pt>
                <c:pt idx="13">
                  <c:v>81.439711631163192</c:v>
                </c:pt>
                <c:pt idx="14">
                  <c:v>77.036873581746434</c:v>
                </c:pt>
                <c:pt idx="15">
                  <c:v>72.872064161129146</c:v>
                </c:pt>
                <c:pt idx="16">
                  <c:v>68.932414935929927</c:v>
                </c:pt>
                <c:pt idx="17">
                  <c:v>65.205753173022089</c:v>
                </c:pt>
                <c:pt idx="18">
                  <c:v>61.680564228207544</c:v>
                </c:pt>
                <c:pt idx="19">
                  <c:v>58.345955968254785</c:v>
                </c:pt>
                <c:pt idx="20">
                  <c:v>55.191625116371853</c:v>
                </c:pt>
                <c:pt idx="21">
                  <c:v>52.20782541712876</c:v>
                </c:pt>
                <c:pt idx="22">
                  <c:v>49.385337522465292</c:v>
                </c:pt>
                <c:pt idx="23">
                  <c:v>46.715440505737668</c:v>
                </c:pt>
                <c:pt idx="24">
                  <c:v>44.189884915788568</c:v>
                </c:pt>
                <c:pt idx="25">
                  <c:v>41.800867287782467</c:v>
                </c:pt>
                <c:pt idx="26">
                  <c:v>39.541006032050262</c:v>
                </c:pt>
                <c:pt idx="27">
                  <c:v>37.403318626444168</c:v>
                </c:pt>
                <c:pt idx="28">
                  <c:v>35.381200041732093</c:v>
                </c:pt>
                <c:pt idx="29">
                  <c:v>33.46840233336993</c:v>
                </c:pt>
                <c:pt idx="30">
                  <c:v>31.659015336594678</c:v>
                </c:pt>
              </c:numCache>
            </c:numRef>
          </c:val>
          <c:smooth val="0"/>
          <c:extLst>
            <c:ext xmlns:c16="http://schemas.microsoft.com/office/drawing/2014/chart" uri="{C3380CC4-5D6E-409C-BE32-E72D297353CC}">
              <c16:uniqueId val="{00000004-F411-48D3-BE81-C7BF07E06BD3}"/>
            </c:ext>
          </c:extLst>
        </c:ser>
        <c:ser>
          <c:idx val="5"/>
          <c:order val="5"/>
          <c:tx>
            <c:strRef>
              <c:f>'4. NOAK Analysis'!$G$92</c:f>
              <c:strCache>
                <c:ptCount val="1"/>
                <c:pt idx="0">
                  <c:v>LR at 0,3</c:v>
                </c:pt>
              </c:strCache>
            </c:strRef>
          </c:tx>
          <c:spPr>
            <a:ln cmpd="sng">
              <a:solidFill>
                <a:srgbClr val="5BBC38"/>
              </a:solidFill>
            </a:ln>
          </c:spPr>
          <c:marker>
            <c:symbol val="none"/>
          </c:marker>
          <c:cat>
            <c:numRef>
              <c:f>'4. NOAK Analysis'!$A$93:$A$123</c:f>
              <c:numCache>
                <c:formatCode>#,##0</c:formatCode>
                <c:ptCount val="31"/>
                <c:pt idx="0" formatCode="General">
                  <c:v>1800</c:v>
                </c:pt>
                <c:pt idx="1">
                  <c:v>2057.9275833955771</c:v>
                </c:pt>
                <c:pt idx="2">
                  <c:v>2352.8144102779779</c:v>
                </c:pt>
                <c:pt idx="3">
                  <c:v>2689.9564852898052</c:v>
                </c:pt>
                <c:pt idx="4">
                  <c:v>3075.4086940065054</c:v>
                </c:pt>
                <c:pt idx="5">
                  <c:v>3516.093545339198</c:v>
                </c:pt>
                <c:pt idx="6">
                  <c:v>4019.9254959737132</c:v>
                </c:pt>
                <c:pt idx="7">
                  <c:v>4595.9530896441393</c:v>
                </c:pt>
                <c:pt idx="8">
                  <c:v>5254.5214639837777</c:v>
                </c:pt>
                <c:pt idx="9">
                  <c:v>6007.4581434868478</c:v>
                </c:pt>
                <c:pt idx="10">
                  <c:v>6868.2854553199832</c:v>
                </c:pt>
                <c:pt idx="11">
                  <c:v>7852.4633828542474</c:v>
                </c:pt>
                <c:pt idx="12">
                  <c:v>8977.6672184330564</c:v>
                </c:pt>
                <c:pt idx="13">
                  <c:v>10264.105001866463</c:v>
                </c:pt>
                <c:pt idx="14">
                  <c:v>11734.880445671948</c:v>
                </c:pt>
                <c:pt idx="15">
                  <c:v>13416.407864998715</c:v>
                </c:pt>
                <c:pt idx="16">
                  <c:v>15338.886564147902</c:v>
                </c:pt>
                <c:pt idx="17">
                  <c:v>17536.84319940877</c:v>
                </c:pt>
                <c:pt idx="18">
                  <c:v>20049.75185874803</c:v>
                </c:pt>
                <c:pt idx="19">
                  <c:v>22922.742994641289</c:v>
                </c:pt>
                <c:pt idx="20">
                  <c:v>26207.413942088915</c:v>
                </c:pt>
                <c:pt idx="21">
                  <c:v>29962.755578272558</c:v>
                </c:pt>
                <c:pt idx="22">
                  <c:v>34256.211766148219</c:v>
                </c:pt>
                <c:pt idx="23">
                  <c:v>39164.890608998081</c:v>
                </c:pt>
                <c:pt idx="24">
                  <c:v>44776.949269404198</c:v>
                </c:pt>
                <c:pt idx="25">
                  <c:v>51193.177223228522</c:v>
                </c:pt>
                <c:pt idx="26">
                  <c:v>58528.806382966766</c:v>
                </c:pt>
                <c:pt idx="27">
                  <c:v>66915.580599292472</c:v>
                </c:pt>
                <c:pt idx="28">
                  <c:v>76504.121707896629</c:v>
                </c:pt>
                <c:pt idx="29">
                  <c:v>87466.634614518247</c:v>
                </c:pt>
                <c:pt idx="30">
                  <c:v>100000</c:v>
                </c:pt>
              </c:numCache>
            </c:numRef>
          </c:cat>
          <c:val>
            <c:numRef>
              <c:f>'4. NOAK Analysis'!$G$93:$G$123</c:f>
              <c:numCache>
                <c:formatCode>General</c:formatCode>
                <c:ptCount val="31"/>
                <c:pt idx="0">
                  <c:v>167.73540423303982</c:v>
                </c:pt>
                <c:pt idx="1">
                  <c:v>156.56634296455533</c:v>
                </c:pt>
                <c:pt idx="2">
                  <c:v>146.14100023414309</c:v>
                </c:pt>
                <c:pt idx="3">
                  <c:v>136.40985377215344</c:v>
                </c:pt>
                <c:pt idx="4">
                  <c:v>127.32667886717364</c:v>
                </c:pt>
                <c:pt idx="5">
                  <c:v>118.84832879026129</c:v>
                </c:pt>
                <c:pt idx="6">
                  <c:v>110.93452984015302</c:v>
                </c:pt>
                <c:pt idx="7">
                  <c:v>103.54769003587555</c:v>
                </c:pt>
                <c:pt idx="8">
                  <c:v>96.652720548015168</c:v>
                </c:pt>
                <c:pt idx="9">
                  <c:v>90.216869020411124</c:v>
                </c:pt>
                <c:pt idx="10">
                  <c:v>84.209563990520877</c:v>
                </c:pt>
                <c:pt idx="11">
                  <c:v>78.602269669425922</c:v>
                </c:pt>
                <c:pt idx="12">
                  <c:v>73.368350391656449</c:v>
                </c:pt>
                <c:pt idx="13">
                  <c:v>68.482944090947555</c:v>
                </c:pt>
                <c:pt idx="14">
                  <c:v>63.922844200912962</c:v>
                </c:pt>
                <c:pt idx="15">
                  <c:v>59.666389419644105</c:v>
                </c:pt>
                <c:pt idx="16">
                  <c:v>55.693360814595479</c:v>
                </c:pt>
                <c:pt idx="17">
                  <c:v>51.984885778986374</c:v>
                </c:pt>
                <c:pt idx="18">
                  <c:v>48.523348383494181</c:v>
                </c:pt>
                <c:pt idx="19">
                  <c:v>45.292305697393736</c:v>
                </c:pt>
                <c:pt idx="20">
                  <c:v>42.276409681652794</c:v>
                </c:pt>
                <c:pt idx="21">
                  <c:v>39.46133428296173</c:v>
                </c:pt>
                <c:pt idx="22">
                  <c:v>36.83370738238083</c:v>
                </c:pt>
                <c:pt idx="23">
                  <c:v>34.381047275348962</c:v>
                </c:pt>
                <c:pt idx="24">
                  <c:v>32.091703381322112</c:v>
                </c:pt>
                <c:pt idx="25">
                  <c:v>29.954800901401807</c:v>
                </c:pt>
                <c:pt idx="26">
                  <c:v>27.960189161067095</c:v>
                </c:pt>
                <c:pt idx="27">
                  <c:v>26.098393392628701</c:v>
                </c:pt>
                <c:pt idx="28">
                  <c:v>24.360569728363416</c:v>
                </c:pt>
                <c:pt idx="29">
                  <c:v>22.738463190537544</c:v>
                </c:pt>
                <c:pt idx="30">
                  <c:v>21.224368478764863</c:v>
                </c:pt>
              </c:numCache>
            </c:numRef>
          </c:val>
          <c:smooth val="0"/>
          <c:extLst>
            <c:ext xmlns:c16="http://schemas.microsoft.com/office/drawing/2014/chart" uri="{C3380CC4-5D6E-409C-BE32-E72D297353CC}">
              <c16:uniqueId val="{00000005-F411-48D3-BE81-C7BF07E06BD3}"/>
            </c:ext>
          </c:extLst>
        </c:ser>
        <c:dLbls>
          <c:showLegendKey val="0"/>
          <c:showVal val="0"/>
          <c:showCatName val="0"/>
          <c:showSerName val="0"/>
          <c:showPercent val="0"/>
          <c:showBubbleSize val="0"/>
        </c:dLbls>
        <c:smooth val="0"/>
        <c:axId val="20966201"/>
        <c:axId val="1486598742"/>
      </c:lineChart>
      <c:catAx>
        <c:axId val="20966201"/>
        <c:scaling>
          <c:orientation val="minMax"/>
        </c:scaling>
        <c:delete val="0"/>
        <c:axPos val="b"/>
        <c:title>
          <c:tx>
            <c:rich>
              <a:bodyPr/>
              <a:lstStyle/>
              <a:p>
                <a:pPr lvl="0">
                  <a:defRPr sz="1000" b="0">
                    <a:solidFill>
                      <a:srgbClr val="000000"/>
                    </a:solidFill>
                    <a:latin typeface="sans-serif"/>
                  </a:defRPr>
                </a:pPr>
                <a:r>
                  <a:rPr sz="1000" b="0">
                    <a:solidFill>
                      <a:srgbClr val="000000"/>
                    </a:solidFill>
                    <a:latin typeface="sans-serif"/>
                  </a:rPr>
                  <a:t>Capacity (Tons/year)</a:t>
                </a:r>
              </a:p>
            </c:rich>
          </c:tx>
          <c:overlay val="0"/>
        </c:title>
        <c:numFmt formatCode="#,##0" sourceLinked="0"/>
        <c:majorTickMark val="none"/>
        <c:minorTickMark val="none"/>
        <c:tickLblPos val="nextTo"/>
        <c:txPr>
          <a:bodyPr/>
          <a:lstStyle/>
          <a:p>
            <a:pPr lvl="0">
              <a:defRPr b="0">
                <a:solidFill>
                  <a:srgbClr val="000000"/>
                </a:solidFill>
                <a:latin typeface="sans-serif"/>
              </a:defRPr>
            </a:pPr>
            <a:endParaRPr lang="en-US"/>
          </a:p>
        </c:txPr>
        <c:crossAx val="1486598742"/>
        <c:crosses val="autoZero"/>
        <c:auto val="1"/>
        <c:lblAlgn val="ctr"/>
        <c:lblOffset val="100"/>
        <c:noMultiLvlLbl val="1"/>
      </c:catAx>
      <c:valAx>
        <c:axId val="148659874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000" b="0">
                    <a:solidFill>
                      <a:srgbClr val="000000"/>
                    </a:solidFill>
                    <a:latin typeface="sans-serif"/>
                  </a:defRPr>
                </a:pPr>
                <a:r>
                  <a:rPr sz="1000" b="0">
                    <a:solidFill>
                      <a:srgbClr val="000000"/>
                    </a:solidFill>
                    <a:latin typeface="sans-serif"/>
                  </a:rPr>
                  <a:t>Costs (€/Ton)</a:t>
                </a:r>
              </a:p>
            </c:rich>
          </c:tx>
          <c:overlay val="0"/>
        </c:title>
        <c:numFmt formatCode="General" sourceLinked="1"/>
        <c:majorTickMark val="none"/>
        <c:minorTickMark val="none"/>
        <c:tickLblPos val="nextTo"/>
        <c:spPr>
          <a:ln/>
        </c:spPr>
        <c:txPr>
          <a:bodyPr/>
          <a:lstStyle/>
          <a:p>
            <a:pPr lvl="0">
              <a:defRPr b="0">
                <a:solidFill>
                  <a:srgbClr val="000000"/>
                </a:solidFill>
                <a:latin typeface="sans-serif"/>
              </a:defRPr>
            </a:pPr>
            <a:endParaRPr lang="en-US"/>
          </a:p>
        </c:txPr>
        <c:crossAx val="20966201"/>
        <c:crosses val="autoZero"/>
        <c:crossBetween val="between"/>
      </c:valAx>
    </c:plotArea>
    <c:legend>
      <c:legendPos val="r"/>
      <c:overlay val="0"/>
      <c:txPr>
        <a:bodyPr/>
        <a:lstStyle/>
        <a:p>
          <a:pPr lvl="0">
            <a:defRPr sz="1000" b="0">
              <a:solidFill>
                <a:srgbClr val="1A1A1A"/>
              </a:solidFill>
              <a:latin typeface="sans-serif"/>
            </a:defRPr>
          </a:pPr>
          <a:endParaRPr lang="en-US"/>
        </a:p>
      </c:txPr>
    </c:legend>
    <c:plotVisOnly val="0"/>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a:solidFill>
                  <a:srgbClr val="000000"/>
                </a:solidFill>
                <a:latin typeface="sans-serif"/>
              </a:defRPr>
            </a:pPr>
            <a:r>
              <a:rPr sz="1400" b="1">
                <a:solidFill>
                  <a:srgbClr val="000000"/>
                </a:solidFill>
                <a:latin typeface="sans-serif"/>
              </a:rPr>
              <a:t>Detailed Cost Curve</a:t>
            </a:r>
          </a:p>
        </c:rich>
      </c:tx>
      <c:overlay val="0"/>
    </c:title>
    <c:autoTitleDeleted val="0"/>
    <c:plotArea>
      <c:layout/>
      <c:lineChart>
        <c:grouping val="standard"/>
        <c:varyColors val="0"/>
        <c:ser>
          <c:idx val="0"/>
          <c:order val="0"/>
          <c:tx>
            <c:strRef>
              <c:f>'4. NOAK Analysis'!$V$58</c:f>
              <c:strCache>
                <c:ptCount val="1"/>
                <c:pt idx="0">
                  <c:v>Process Equipment 2</c:v>
                </c:pt>
              </c:strCache>
            </c:strRef>
          </c:tx>
          <c:spPr>
            <a:ln cmpd="sng">
              <a:solidFill>
                <a:srgbClr val="1B75BB"/>
              </a:solidFill>
            </a:ln>
          </c:spPr>
          <c:marker>
            <c:symbol val="none"/>
          </c:marker>
          <c:trendline>
            <c:name>Trendlinie für Total</c:name>
            <c:spPr>
              <a:ln w="76200">
                <a:solidFill>
                  <a:srgbClr val="1B75BB">
                    <a:alpha val="20000"/>
                  </a:srgbClr>
                </a:solidFill>
              </a:ln>
            </c:spPr>
            <c:trendlineType val="exp"/>
            <c:dispRSqr val="0"/>
            <c:dispEq val="0"/>
          </c:trendline>
          <c:cat>
            <c:numRef>
              <c:f>'4. NOAK Analysis'!$A$59:$A$89</c:f>
              <c:numCache>
                <c:formatCode>#,##0</c:formatCode>
                <c:ptCount val="31"/>
                <c:pt idx="0" formatCode="General">
                  <c:v>1800</c:v>
                </c:pt>
                <c:pt idx="1">
                  <c:v>2057.9275833955771</c:v>
                </c:pt>
                <c:pt idx="2">
                  <c:v>2352.8144102779779</c:v>
                </c:pt>
                <c:pt idx="3">
                  <c:v>2689.9564852898052</c:v>
                </c:pt>
                <c:pt idx="4">
                  <c:v>3075.4086940065054</c:v>
                </c:pt>
                <c:pt idx="5">
                  <c:v>3516.093545339198</c:v>
                </c:pt>
                <c:pt idx="6">
                  <c:v>4019.9254959737132</c:v>
                </c:pt>
                <c:pt idx="7">
                  <c:v>4595.9530896441393</c:v>
                </c:pt>
                <c:pt idx="8">
                  <c:v>5254.5214639837777</c:v>
                </c:pt>
                <c:pt idx="9">
                  <c:v>6007.4581434868478</c:v>
                </c:pt>
                <c:pt idx="10">
                  <c:v>6868.2854553199832</c:v>
                </c:pt>
                <c:pt idx="11">
                  <c:v>7852.4633828542474</c:v>
                </c:pt>
                <c:pt idx="12">
                  <c:v>8977.6672184330564</c:v>
                </c:pt>
                <c:pt idx="13">
                  <c:v>10264.105001866463</c:v>
                </c:pt>
                <c:pt idx="14">
                  <c:v>11734.880445671948</c:v>
                </c:pt>
                <c:pt idx="15">
                  <c:v>13416.407864998715</c:v>
                </c:pt>
                <c:pt idx="16">
                  <c:v>15338.886564147902</c:v>
                </c:pt>
                <c:pt idx="17">
                  <c:v>17536.84319940877</c:v>
                </c:pt>
                <c:pt idx="18">
                  <c:v>20049.75185874803</c:v>
                </c:pt>
                <c:pt idx="19">
                  <c:v>22922.742994641289</c:v>
                </c:pt>
                <c:pt idx="20">
                  <c:v>26207.413942088915</c:v>
                </c:pt>
                <c:pt idx="21">
                  <c:v>29962.755578272558</c:v>
                </c:pt>
                <c:pt idx="22">
                  <c:v>34256.211766148219</c:v>
                </c:pt>
                <c:pt idx="23">
                  <c:v>39164.890608998081</c:v>
                </c:pt>
                <c:pt idx="24">
                  <c:v>44776.949269404198</c:v>
                </c:pt>
                <c:pt idx="25">
                  <c:v>51193.177223228522</c:v>
                </c:pt>
                <c:pt idx="26">
                  <c:v>58528.806382966766</c:v>
                </c:pt>
                <c:pt idx="27">
                  <c:v>66915.580599292472</c:v>
                </c:pt>
                <c:pt idx="28">
                  <c:v>76504.121707896629</c:v>
                </c:pt>
                <c:pt idx="29">
                  <c:v>87466.634614518247</c:v>
                </c:pt>
                <c:pt idx="30">
                  <c:v>100000</c:v>
                </c:pt>
              </c:numCache>
            </c:numRef>
          </c:cat>
          <c:val>
            <c:numRef>
              <c:f>'4. NOAK Analysis'!$V$59:$V$89</c:f>
              <c:numCache>
                <c:formatCode>General</c:formatCode>
                <c:ptCount val="31"/>
                <c:pt idx="0">
                  <c:v>5.1851851851851851</c:v>
                </c:pt>
                <c:pt idx="1">
                  <c:v>5.0586960316779281</c:v>
                </c:pt>
                <c:pt idx="2">
                  <c:v>4.9352924971762757</c:v>
                </c:pt>
                <c:pt idx="3">
                  <c:v>4.8148993100511293</c:v>
                </c:pt>
                <c:pt idx="4">
                  <c:v>4.6974430348748566</c:v>
                </c:pt>
                <c:pt idx="5">
                  <c:v>4.5828520276283813</c:v>
                </c:pt>
                <c:pt idx="6">
                  <c:v>4.4710563920009472</c:v>
                </c:pt>
                <c:pt idx="7">
                  <c:v>4.3619879367559475</c:v>
                </c:pt>
                <c:pt idx="8">
                  <c:v>4.2555801341367596</c:v>
                </c:pt>
                <c:pt idx="9">
                  <c:v>4.1517680792872609</c:v>
                </c:pt>
                <c:pt idx="10">
                  <c:v>4.0504884506622441</c:v>
                </c:pt>
                <c:pt idx="11">
                  <c:v>3.951679471403601</c:v>
                </c:pt>
                <c:pt idx="12">
                  <c:v>3.8552808716587035</c:v>
                </c:pt>
                <c:pt idx="13">
                  <c:v>3.7612338518180009</c:v>
                </c:pt>
                <c:pt idx="14">
                  <c:v>3.6694810466494219</c:v>
                </c:pt>
                <c:pt idx="15">
                  <c:v>3.5799664903076835</c:v>
                </c:pt>
                <c:pt idx="16">
                  <c:v>3.492635582197178</c:v>
                </c:pt>
                <c:pt idx="17">
                  <c:v>3.4074350536676143</c:v>
                </c:pt>
                <c:pt idx="18">
                  <c:v>3.3243129355220926</c:v>
                </c:pt>
                <c:pt idx="19">
                  <c:v>3.2432185263178059</c:v>
                </c:pt>
                <c:pt idx="20">
                  <c:v>3.1641023614400154</c:v>
                </c:pt>
                <c:pt idx="21">
                  <c:v>3.0869161829304494</c:v>
                </c:pt>
                <c:pt idx="22">
                  <c:v>3.0116129100517246</c:v>
                </c:pt>
                <c:pt idx="23">
                  <c:v>2.9381466105698162</c:v>
                </c:pt>
                <c:pt idx="24">
                  <c:v>2.8664724727370872</c:v>
                </c:pt>
                <c:pt idx="25">
                  <c:v>2.7965467779587589</c:v>
                </c:pt>
                <c:pt idx="26">
                  <c:v>2.7283268741261799</c:v>
                </c:pt>
                <c:pt idx="27">
                  <c:v>2.6617711496005967</c:v>
                </c:pt>
                <c:pt idx="28">
                  <c:v>2.5968390078315871</c:v>
                </c:pt>
                <c:pt idx="29">
                  <c:v>2.5334908425946474</c:v>
                </c:pt>
                <c:pt idx="30">
                  <c:v>2.4716880138328539</c:v>
                </c:pt>
              </c:numCache>
            </c:numRef>
          </c:val>
          <c:smooth val="0"/>
          <c:extLst>
            <c:ext xmlns:c16="http://schemas.microsoft.com/office/drawing/2014/chart" uri="{C3380CC4-5D6E-409C-BE32-E72D297353CC}">
              <c16:uniqueId val="{00000001-CEBB-4E9B-BDEF-AECE63A2E2D7}"/>
            </c:ext>
          </c:extLst>
        </c:ser>
        <c:dLbls>
          <c:showLegendKey val="0"/>
          <c:showVal val="0"/>
          <c:showCatName val="0"/>
          <c:showSerName val="0"/>
          <c:showPercent val="0"/>
          <c:showBubbleSize val="0"/>
        </c:dLbls>
        <c:smooth val="0"/>
        <c:axId val="1596788776"/>
        <c:axId val="1757890397"/>
      </c:lineChart>
      <c:catAx>
        <c:axId val="1596788776"/>
        <c:scaling>
          <c:orientation val="minMax"/>
        </c:scaling>
        <c:delete val="0"/>
        <c:axPos val="b"/>
        <c:title>
          <c:tx>
            <c:rich>
              <a:bodyPr/>
              <a:lstStyle/>
              <a:p>
                <a:pPr lvl="0">
                  <a:defRPr sz="1000" b="0">
                    <a:solidFill>
                      <a:srgbClr val="000000"/>
                    </a:solidFill>
                    <a:latin typeface="sans-serif"/>
                  </a:defRPr>
                </a:pPr>
                <a:r>
                  <a:rPr sz="1000" b="0">
                    <a:solidFill>
                      <a:srgbClr val="000000"/>
                    </a:solidFill>
                    <a:latin typeface="sans-serif"/>
                  </a:rPr>
                  <a:t>Capacity (Tons/ year)</a:t>
                </a:r>
              </a:p>
            </c:rich>
          </c:tx>
          <c:overlay val="0"/>
        </c:title>
        <c:numFmt formatCode="#,##0" sourceLinked="0"/>
        <c:majorTickMark val="none"/>
        <c:minorTickMark val="none"/>
        <c:tickLblPos val="nextTo"/>
        <c:txPr>
          <a:bodyPr/>
          <a:lstStyle/>
          <a:p>
            <a:pPr lvl="0">
              <a:defRPr sz="1000" b="0">
                <a:solidFill>
                  <a:srgbClr val="000000"/>
                </a:solidFill>
                <a:latin typeface="sans-serif"/>
              </a:defRPr>
            </a:pPr>
            <a:endParaRPr lang="en-US"/>
          </a:p>
        </c:txPr>
        <c:crossAx val="1757890397"/>
        <c:crosses val="autoZero"/>
        <c:auto val="1"/>
        <c:lblAlgn val="ctr"/>
        <c:lblOffset val="100"/>
        <c:noMultiLvlLbl val="1"/>
      </c:catAx>
      <c:valAx>
        <c:axId val="17578903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000" b="0">
                    <a:solidFill>
                      <a:srgbClr val="000000"/>
                    </a:solidFill>
                    <a:latin typeface="sans-serif"/>
                  </a:defRPr>
                </a:pPr>
                <a:r>
                  <a:rPr sz="1000" b="0">
                    <a:solidFill>
                      <a:srgbClr val="000000"/>
                    </a:solidFill>
                    <a:latin typeface="sans-serif"/>
                  </a:rPr>
                  <a:t>Costs (€/ Ton)</a:t>
                </a:r>
              </a:p>
            </c:rich>
          </c:tx>
          <c:overlay val="0"/>
        </c:title>
        <c:numFmt formatCode="#,##0" sourceLinked="0"/>
        <c:majorTickMark val="none"/>
        <c:minorTickMark val="none"/>
        <c:tickLblPos val="nextTo"/>
        <c:spPr>
          <a:ln/>
        </c:spPr>
        <c:txPr>
          <a:bodyPr/>
          <a:lstStyle/>
          <a:p>
            <a:pPr lvl="0">
              <a:defRPr sz="1000" b="0">
                <a:solidFill>
                  <a:srgbClr val="000000"/>
                </a:solidFill>
                <a:latin typeface="+mn-lt"/>
              </a:defRPr>
            </a:pPr>
            <a:endParaRPr lang="en-US"/>
          </a:p>
        </c:txPr>
        <c:crossAx val="1596788776"/>
        <c:crosses val="autoZero"/>
        <c:crossBetween val="between"/>
      </c:valAx>
    </c:plotArea>
    <c:plotVisOnly val="0"/>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85725</xdr:rowOff>
    </xdr:from>
    <xdr:ext cx="1181100" cy="323850"/>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628650</xdr:colOff>
      <xdr:row>5</xdr:row>
      <xdr:rowOff>0</xdr:rowOff>
    </xdr:from>
    <xdr:ext cx="1266825" cy="1409700"/>
    <xdr:sp macro="" textlink="">
      <xdr:nvSpPr>
        <xdr:cNvPr id="3" name="Shape 3">
          <a:extLst>
            <a:ext uri="{FF2B5EF4-FFF2-40B4-BE49-F238E27FC236}">
              <a16:creationId xmlns:a16="http://schemas.microsoft.com/office/drawing/2014/main" id="{00000000-0008-0000-0100-000003000000}"/>
            </a:ext>
          </a:extLst>
        </xdr:cNvPr>
        <xdr:cNvSpPr/>
      </xdr:nvSpPr>
      <xdr:spPr>
        <a:xfrm>
          <a:off x="4722113" y="3084675"/>
          <a:ext cx="1247775" cy="1390650"/>
        </a:xfrm>
        <a:prstGeom prst="star5">
          <a:avLst>
            <a:gd name="adj" fmla="val 19098"/>
            <a:gd name="hf" fmla="val 105146"/>
            <a:gd name="vf" fmla="val 110557"/>
          </a:avLst>
        </a:prstGeom>
        <a:solidFill>
          <a:srgbClr val="368736"/>
        </a:solidFill>
        <a:ln w="12700" cap="flat" cmpd="sng">
          <a:solidFill>
            <a:srgbClr val="13558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Logo</a:t>
          </a:r>
          <a:endParaRPr sz="1400"/>
        </a:p>
      </xdr:txBody>
    </xdr:sp>
    <xdr:clientData fLocksWithSheet="0"/>
  </xdr:oneCellAnchor>
  <xdr:oneCellAnchor>
    <xdr:from>
      <xdr:col>0</xdr:col>
      <xdr:colOff>76200</xdr:colOff>
      <xdr:row>0</xdr:row>
      <xdr:rowOff>85725</xdr:rowOff>
    </xdr:from>
    <xdr:ext cx="1181100" cy="323850"/>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657225</xdr:colOff>
      <xdr:row>18</xdr:row>
      <xdr:rowOff>38100</xdr:rowOff>
    </xdr:from>
    <xdr:ext cx="4267200" cy="714375"/>
    <xdr:pic>
      <xdr:nvPicPr>
        <xdr:cNvPr id="4" name="image4.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609600</xdr:colOff>
      <xdr:row>9</xdr:row>
      <xdr:rowOff>123825</xdr:rowOff>
    </xdr:from>
    <xdr:ext cx="2914650" cy="714375"/>
    <xdr:pic>
      <xdr:nvPicPr>
        <xdr:cNvPr id="5" name="image3.png" title="Imag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228600</xdr:colOff>
      <xdr:row>27</xdr:row>
      <xdr:rowOff>38100</xdr:rowOff>
    </xdr:from>
    <xdr:ext cx="2238375" cy="1123950"/>
    <xdr:pic>
      <xdr:nvPicPr>
        <xdr:cNvPr id="6" name="image1.png" title="Image">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85725</xdr:rowOff>
    </xdr:from>
    <xdr:ext cx="1181100" cy="323850"/>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9525</xdr:colOff>
      <xdr:row>28</xdr:row>
      <xdr:rowOff>104775</xdr:rowOff>
    </xdr:from>
    <xdr:ext cx="2886075" cy="1438275"/>
    <xdr:graphicFrame macro="">
      <xdr:nvGraphicFramePr>
        <xdr:cNvPr id="2" name="Chart 1" title="Diagramm">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56</xdr:row>
      <xdr:rowOff>142875</xdr:rowOff>
    </xdr:from>
    <xdr:ext cx="4772025" cy="2486025"/>
    <xdr:graphicFrame macro="">
      <xdr:nvGraphicFramePr>
        <xdr:cNvPr id="3" name="Chart 2" title="Diagramm">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561975</xdr:colOff>
      <xdr:row>56</xdr:row>
      <xdr:rowOff>142875</xdr:rowOff>
    </xdr:from>
    <xdr:ext cx="3457575" cy="2486025"/>
    <xdr:graphicFrame macro="">
      <xdr:nvGraphicFramePr>
        <xdr:cNvPr id="4" name="Chart 3" title="Diagramm">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76200</xdr:colOff>
      <xdr:row>0</xdr:row>
      <xdr:rowOff>85725</xdr:rowOff>
    </xdr:from>
    <xdr:ext cx="1181100" cy="323850"/>
    <xdr:pic>
      <xdr:nvPicPr>
        <xdr:cNvPr id="5" name="image2.png" title="Imag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390525</xdr:colOff>
      <xdr:row>4</xdr:row>
      <xdr:rowOff>180975</xdr:rowOff>
    </xdr:from>
    <xdr:ext cx="3514725" cy="2162175"/>
    <xdr:graphicFrame macro="">
      <xdr:nvGraphicFramePr>
        <xdr:cNvPr id="4" name="Chart 4" title="Chart">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390525</xdr:colOff>
      <xdr:row>16</xdr:row>
      <xdr:rowOff>190500</xdr:rowOff>
    </xdr:from>
    <xdr:ext cx="3514725" cy="2162175"/>
    <xdr:graphicFrame macro="">
      <xdr:nvGraphicFramePr>
        <xdr:cNvPr id="5" name="Chart 5" title="Diagramm">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390525</xdr:colOff>
      <xdr:row>31</xdr:row>
      <xdr:rowOff>28575</xdr:rowOff>
    </xdr:from>
    <xdr:ext cx="3514725" cy="2162175"/>
    <xdr:graphicFrame macro="">
      <xdr:nvGraphicFramePr>
        <xdr:cNvPr id="6" name="Chart 6" title="Diagramm">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123825</xdr:colOff>
      <xdr:row>0</xdr:row>
      <xdr:rowOff>76200</xdr:rowOff>
    </xdr:from>
    <xdr:ext cx="1076325" cy="295275"/>
    <xdr:pic>
      <xdr:nvPicPr>
        <xdr:cNvPr id="2" name="image2.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14</xdr:col>
      <xdr:colOff>276225</xdr:colOff>
      <xdr:row>20</xdr:row>
      <xdr:rowOff>171450</xdr:rowOff>
    </xdr:from>
    <xdr:ext cx="1724025" cy="390525"/>
    <xdr:pic>
      <xdr:nvPicPr>
        <xdr:cNvPr id="3" name="image5.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14</xdr:col>
      <xdr:colOff>676275</xdr:colOff>
      <xdr:row>24</xdr:row>
      <xdr:rowOff>38100</xdr:rowOff>
    </xdr:from>
    <xdr:ext cx="933450" cy="447675"/>
    <xdr:pic>
      <xdr:nvPicPr>
        <xdr:cNvPr id="7" name="image6.png" title="Image">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85725</xdr:rowOff>
    </xdr:from>
    <xdr:ext cx="1181100" cy="323850"/>
    <xdr:pic>
      <xdr:nvPicPr>
        <xdr:cNvPr id="2" name="image2.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pu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xcel Services" refreshedDate="45436.605494212963" refreshedVersion="8" recordCount="41" xr:uid="{00000000-000A-0000-FFFF-FFFF00000000}">
  <cacheSource type="worksheet">
    <worksheetSource ref="A14:C55" sheet="Databases"/>
  </cacheSource>
  <cacheFields count="3">
    <cacheField name="Energy Source" numFmtId="0">
      <sharedItems count="11">
        <s v="Coal"/>
        <s v="Natural Gas"/>
        <s v="Nuclear"/>
        <s v="Biomass"/>
        <s v="Hydroelectric"/>
        <s v="Hydrogen"/>
        <s v="Wind"/>
        <s v="Solar"/>
        <s v="PV balance of system (BOS )"/>
        <s v="Energy Storage"/>
        <s v="Other Technologies"/>
      </sharedItems>
    </cacheField>
    <cacheField name="Technology" numFmtId="0">
      <sharedItems count="39">
        <s v="Pulverized coal plant (PC)"/>
        <s v="FGD system"/>
        <s v="FGD system (O&amp;M cost)"/>
        <s v="SCR system"/>
        <s v="SCR system (O&amp;M cost)"/>
        <s v="NGCC"/>
        <s v="Gas Turbine"/>
        <s v="NGCCb"/>
        <s v="Nuclear plants"/>
        <s v="Nuclear (business as usual)b"/>
        <s v="Nuclear (optimal conditions)"/>
        <s v="Power generation"/>
        <s v="Power generation low"/>
        <s v="FCEV fuel cell stacks"/>
        <s v="PEFC micro-CHP"/>
        <s v="H2 (alkaline electrolysis)"/>
        <s v="H2 (SMR)"/>
        <s v="H2 (SMR) (O&amp;M costs)"/>
        <s v="Onshore"/>
        <s v="Onshore (1982-2016)"/>
        <s v="Onshore (2009-2016)"/>
        <s v="Offshore"/>
        <s v="Onshoreb"/>
        <s v="Offshoreb"/>
        <s v="PV systems"/>
        <s v="PV modules"/>
        <s v="CSP plantsb"/>
        <s v="PV (short -term )"/>
        <s v="PV (long -term )"/>
        <s v="Utility Li -ion storage"/>
        <s v="Utility redox -flow storage"/>
        <s v="Residential Li -ion storage"/>
        <s v="BEV battery packs"/>
        <s v="HEV battery packs"/>
        <s v="Heat pumps"/>
        <s v="LNG production"/>
        <s v="LNG prod (O &amp;M costs )"/>
        <s v="Oxygen production"/>
        <s v="Oxygen prod .(O &amp;M costs )"/>
      </sharedItems>
    </cacheField>
    <cacheField name="Learning rate (LR)" numFmtId="10">
      <sharedItems containsSemiMixedTypes="0" containsString="0" containsNumber="1" minValue="0.03" maxValue="0.4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x v="0"/>
    <x v="0"/>
    <n v="8.3000000000000004E-2"/>
  </r>
  <r>
    <x v="0"/>
    <x v="1"/>
    <n v="0.11"/>
  </r>
  <r>
    <x v="0"/>
    <x v="2"/>
    <n v="0.22"/>
  </r>
  <r>
    <x v="0"/>
    <x v="3"/>
    <n v="0.12"/>
  </r>
  <r>
    <x v="0"/>
    <x v="4"/>
    <n v="0.13"/>
  </r>
  <r>
    <x v="1"/>
    <x v="5"/>
    <n v="0.14000000000000001"/>
  </r>
  <r>
    <x v="1"/>
    <x v="6"/>
    <n v="0.15"/>
  </r>
  <r>
    <x v="1"/>
    <x v="7"/>
    <n v="0.06"/>
  </r>
  <r>
    <x v="2"/>
    <x v="8"/>
    <n v="0.44"/>
  </r>
  <r>
    <x v="2"/>
    <x v="9"/>
    <n v="0.15"/>
  </r>
  <r>
    <x v="2"/>
    <x v="10"/>
    <n v="0.05"/>
  </r>
  <r>
    <x v="3"/>
    <x v="11"/>
    <n v="0.11"/>
  </r>
  <r>
    <x v="3"/>
    <x v="12"/>
    <n v="0.06"/>
  </r>
  <r>
    <x v="4"/>
    <x v="13"/>
    <n v="0.18"/>
  </r>
  <r>
    <x v="4"/>
    <x v="14"/>
    <n v="0.193"/>
  </r>
  <r>
    <x v="5"/>
    <x v="15"/>
    <n v="0.17699999999999999"/>
  </r>
  <r>
    <x v="5"/>
    <x v="16"/>
    <n v="0.27"/>
  </r>
  <r>
    <x v="5"/>
    <x v="17"/>
    <n v="0.27"/>
  </r>
  <r>
    <x v="6"/>
    <x v="18"/>
    <n v="0.12"/>
  </r>
  <r>
    <x v="6"/>
    <x v="19"/>
    <n v="5.8999999999999997E-2"/>
  </r>
  <r>
    <x v="6"/>
    <x v="20"/>
    <n v="0.245"/>
  </r>
  <r>
    <x v="6"/>
    <x v="21"/>
    <n v="0.12"/>
  </r>
  <r>
    <x v="6"/>
    <x v="21"/>
    <n v="0.10299999999999999"/>
  </r>
  <r>
    <x v="6"/>
    <x v="22"/>
    <n v="0.05"/>
  </r>
  <r>
    <x v="6"/>
    <x v="23"/>
    <n v="0.03"/>
  </r>
  <r>
    <x v="7"/>
    <x v="24"/>
    <n v="0.186"/>
  </r>
  <r>
    <x v="7"/>
    <x v="25"/>
    <n v="0.214"/>
  </r>
  <r>
    <x v="8"/>
    <x v="26"/>
    <n v="0.104"/>
  </r>
  <r>
    <x v="8"/>
    <x v="27"/>
    <n v="0.2"/>
  </r>
  <r>
    <x v="8"/>
    <x v="28"/>
    <n v="0.12"/>
  </r>
  <r>
    <x v="8"/>
    <x v="26"/>
    <n v="0.08"/>
  </r>
  <r>
    <x v="9"/>
    <x v="29"/>
    <n v="0.152"/>
  </r>
  <r>
    <x v="9"/>
    <x v="30"/>
    <n v="0.14299999999999999"/>
  </r>
  <r>
    <x v="9"/>
    <x v="31"/>
    <n v="0.125"/>
  </r>
  <r>
    <x v="9"/>
    <x v="32"/>
    <n v="0.152"/>
  </r>
  <r>
    <x v="9"/>
    <x v="33"/>
    <n v="0.108"/>
  </r>
  <r>
    <x v="10"/>
    <x v="34"/>
    <n v="0.1"/>
  </r>
  <r>
    <x v="10"/>
    <x v="35"/>
    <n v="0.14000000000000001"/>
  </r>
  <r>
    <x v="10"/>
    <x v="36"/>
    <n v="0.12"/>
  </r>
  <r>
    <x v="10"/>
    <x v="37"/>
    <n v="0.1"/>
  </r>
  <r>
    <x v="10"/>
    <x v="38"/>
    <n v="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4. NOAK Analysis" cacheId="2976" applyNumberFormats="0" applyBorderFormats="0" applyFontFormats="0" applyPatternFormats="0" applyAlignmentFormats="0" applyWidthHeightFormats="0" dataCaption="" updatedVersion="8" rowGrandTotals="0" compact="0" compactData="0">
  <location ref="A39:C50" firstHeaderRow="1" firstDataRow="1" firstDataCol="2"/>
  <pivotFields count="3">
    <pivotField name="Energy Source" axis="axisRow" compact="0" outline="0" multipleItemSelectionAllowed="1" showAll="0" sortType="ascending" defaultSubtotal="0">
      <items count="11">
        <item sd="0" x="3"/>
        <item sd="0" x="0"/>
        <item sd="0" x="9"/>
        <item sd="0" x="4"/>
        <item sd="0" x="5"/>
        <item sd="0" x="1"/>
        <item sd="0" x="2"/>
        <item sd="0" x="10"/>
        <item sd="0" x="8"/>
        <item sd="0" x="7"/>
        <item sd="0" x="6"/>
      </items>
    </pivotField>
    <pivotField name="Technology" axis="axisRow" compact="0" outline="0" multipleItemSelectionAllowed="1" showAll="0" sortType="ascending">
      <items count="40">
        <item x="32"/>
        <item x="26"/>
        <item x="13"/>
        <item x="1"/>
        <item x="2"/>
        <item x="6"/>
        <item x="15"/>
        <item x="16"/>
        <item x="17"/>
        <item x="34"/>
        <item x="33"/>
        <item x="36"/>
        <item x="35"/>
        <item x="5"/>
        <item x="7"/>
        <item x="9"/>
        <item x="10"/>
        <item x="8"/>
        <item x="21"/>
        <item x="23"/>
        <item x="18"/>
        <item x="19"/>
        <item x="20"/>
        <item x="22"/>
        <item x="38"/>
        <item x="37"/>
        <item x="14"/>
        <item x="11"/>
        <item x="12"/>
        <item x="0"/>
        <item x="28"/>
        <item x="27"/>
        <item x="25"/>
        <item x="24"/>
        <item x="31"/>
        <item x="3"/>
        <item x="4"/>
        <item x="29"/>
        <item x="30"/>
        <item t="default"/>
      </items>
    </pivotField>
    <pivotField name="Learning rate (LR)" dataField="1" compact="0" numFmtId="10" outline="0" multipleItemSelectionAllowed="1" showAll="0"/>
  </pivotFields>
  <rowFields count="2">
    <field x="0"/>
    <field x="1"/>
  </rowFields>
  <rowItems count="11">
    <i>
      <x/>
    </i>
    <i>
      <x v="1"/>
    </i>
    <i>
      <x v="2"/>
    </i>
    <i>
      <x v="3"/>
    </i>
    <i>
      <x v="4"/>
    </i>
    <i>
      <x v="5"/>
    </i>
    <i>
      <x v="6"/>
    </i>
    <i>
      <x v="7"/>
    </i>
    <i>
      <x v="8"/>
    </i>
    <i>
      <x v="9"/>
    </i>
    <i>
      <x v="10"/>
    </i>
  </rowItems>
  <colItems count="1">
    <i/>
  </colItems>
  <dataFields count="1">
    <dataField name="AVERAGE of Learning rate (LR)" fld="2"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10</v>
    <v>1</v>
  </rv>
  <rv s="1">
    <v>10</v>
    <v>2</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B75BB"/>
      </a:accent1>
      <a:accent2>
        <a:srgbClr val="ED1C24"/>
      </a:accent2>
      <a:accent3>
        <a:srgbClr val="1A365F"/>
      </a:accent3>
      <a:accent4>
        <a:srgbClr val="A5A5A5"/>
      </a:accent4>
      <a:accent5>
        <a:srgbClr val="FFC000"/>
      </a:accent5>
      <a:accent6>
        <a:srgbClr val="5BBC38"/>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assessccus.globalco2initiative.org/tea/guidance-documents/" TargetMode="External"/><Relationship Id="rId7" Type="http://schemas.openxmlformats.org/officeDocument/2006/relationships/hyperlink" Target="https://www.frontiersin.org/articles/10.3389/frsus.2021.764057/full" TargetMode="External"/><Relationship Id="rId2" Type="http://schemas.openxmlformats.org/officeDocument/2006/relationships/hyperlink" Target="https://www.osti.gov/servlets/purl/1738878" TargetMode="External"/><Relationship Id="rId1" Type="http://schemas.openxmlformats.org/officeDocument/2006/relationships/hyperlink" Target="https://www.activate.org/techonomics" TargetMode="External"/><Relationship Id="rId6" Type="http://schemas.openxmlformats.org/officeDocument/2006/relationships/hyperlink" Target="https://pubs.acs.org/doi/abs/10.1021/acs.iecr.7b03514?casa_token=Ob51LzXuqCcAAAAA:7Pb_CSjfpQ8OElGDk0PNsufe947ra4x8NleMvn-bFvpoJlhEhG910GIrW4VZG_ENd5t09O4hqbXPi6c" TargetMode="External"/><Relationship Id="rId5" Type="http://schemas.openxmlformats.org/officeDocument/2006/relationships/hyperlink" Target="https://www.sciencedirect.com/science/article/pii/S0959652619307772" TargetMode="External"/><Relationship Id="rId4" Type="http://schemas.openxmlformats.org/officeDocument/2006/relationships/hyperlink" Target="https://www.osti.gov/servlets/purl/1779820"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ciencedirect.com/science/article/abs/pii/B9780081025994000060?via%3Dihub" TargetMode="External"/><Relationship Id="rId13" Type="http://schemas.openxmlformats.org/officeDocument/2006/relationships/drawing" Target="../drawings/drawing3.xml"/><Relationship Id="rId3" Type="http://schemas.openxmlformats.org/officeDocument/2006/relationships/hyperlink" Target="https://www.sciencedirect.com/science/article/abs/pii/B9780081025994000060?via%3Dihub" TargetMode="External"/><Relationship Id="rId7" Type="http://schemas.openxmlformats.org/officeDocument/2006/relationships/hyperlink" Target="https://www.sciencedirect.com/science/article/abs/pii/B9780081025994000060?via%3Dihub" TargetMode="External"/><Relationship Id="rId12" Type="http://schemas.openxmlformats.org/officeDocument/2006/relationships/hyperlink" Target="https://www.sciencedirect.com/science/article/abs/pii/B9780081025994000060?via%3Dihub" TargetMode="External"/><Relationship Id="rId2" Type="http://schemas.openxmlformats.org/officeDocument/2006/relationships/hyperlink" Target="https://www.sciencedirect.com/science/article/abs/pii/B9780081025994000060?via%3Dihub" TargetMode="External"/><Relationship Id="rId1" Type="http://schemas.openxmlformats.org/officeDocument/2006/relationships/hyperlink" Target="https://www.ffe.de/en/publications/european-day-ahead-electricity-prices-in-2022/" TargetMode="External"/><Relationship Id="rId6" Type="http://schemas.openxmlformats.org/officeDocument/2006/relationships/hyperlink" Target="https://www.sciencedirect.com/science/article/abs/pii/B9780081025994000060?via%3Dihub" TargetMode="External"/><Relationship Id="rId11" Type="http://schemas.openxmlformats.org/officeDocument/2006/relationships/hyperlink" Target="https://www.sciencedirect.com/science/article/abs/pii/B9780081025994000060?via%3Dihub" TargetMode="External"/><Relationship Id="rId5" Type="http://schemas.openxmlformats.org/officeDocument/2006/relationships/hyperlink" Target="https://www.sciencedirect.com/science/article/abs/pii/B9780081025994000060?via%3Dihub" TargetMode="External"/><Relationship Id="rId15" Type="http://schemas.openxmlformats.org/officeDocument/2006/relationships/comments" Target="../comments2.xml"/><Relationship Id="rId10" Type="http://schemas.openxmlformats.org/officeDocument/2006/relationships/hyperlink" Target="https://www.sciencedirect.com/science/article/abs/pii/B9780081025994000060?via%3Dihub" TargetMode="External"/><Relationship Id="rId4" Type="http://schemas.openxmlformats.org/officeDocument/2006/relationships/hyperlink" Target="https://www.sciencedirect.com/science/article/abs/pii/B9780081025994000060?via%3Dihub" TargetMode="External"/><Relationship Id="rId9" Type="http://schemas.openxmlformats.org/officeDocument/2006/relationships/hyperlink" Target="https://www.sciencedirect.com/science/article/abs/pii/B9780081025994000060?via%3Dihub" TargetMode="External"/><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sciencedirect.com/science/article/pii/S0301479718312180" TargetMode="External"/><Relationship Id="rId2" Type="http://schemas.openxmlformats.org/officeDocument/2006/relationships/hyperlink" Target="https://www.osti.gov/servlets/purl/1779820" TargetMode="External"/><Relationship Id="rId1" Type="http://schemas.openxmlformats.org/officeDocument/2006/relationships/pivotTable" Target="../pivotTables/pivotTable1.xm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3" Type="http://schemas.openxmlformats.org/officeDocument/2006/relationships/hyperlink" Target="https://www.bls.gov/data/inflation_calculator.htm" TargetMode="External"/><Relationship Id="rId18" Type="http://schemas.openxmlformats.org/officeDocument/2006/relationships/hyperlink" Target="https://irena.org/costs" TargetMode="External"/><Relationship Id="rId26" Type="http://schemas.openxmlformats.org/officeDocument/2006/relationships/hyperlink" Target="https://www.epa.gov/warm" TargetMode="External"/><Relationship Id="rId39" Type="http://schemas.openxmlformats.org/officeDocument/2006/relationships/hyperlink" Target="https://www.environdec.com/library" TargetMode="External"/><Relationship Id="rId21" Type="http://schemas.openxmlformats.org/officeDocument/2006/relationships/hyperlink" Target="https://www.sciencedirect.com/science/article/pii/S2211467X18300634" TargetMode="External"/><Relationship Id="rId34" Type="http://schemas.openxmlformats.org/officeDocument/2006/relationships/hyperlink" Target="https://ws680.nist.gov/bees/" TargetMode="External"/><Relationship Id="rId7" Type="http://schemas.openxmlformats.org/officeDocument/2006/relationships/hyperlink" Target="https://richardturton.faculty.wvu.edu/publications/analysis-synthesis-and-design-of-chemical-processes-5th-edition" TargetMode="External"/><Relationship Id="rId12" Type="http://schemas.openxmlformats.org/officeDocument/2006/relationships/hyperlink" Target="https://www.bls.gov/" TargetMode="External"/><Relationship Id="rId17" Type="http://schemas.openxmlformats.org/officeDocument/2006/relationships/hyperlink" Target="https://www.nrel.gov/analysis/techno-economic.html" TargetMode="External"/><Relationship Id="rId25" Type="http://schemas.openxmlformats.org/officeDocument/2006/relationships/hyperlink" Target="https://www.epa.gov/egrid" TargetMode="External"/><Relationship Id="rId33" Type="http://schemas.openxmlformats.org/officeDocument/2006/relationships/hyperlink" Target="https://www.ipcc-nggip.iges.or.jp/EFDB/main.php" TargetMode="External"/><Relationship Id="rId38" Type="http://schemas.openxmlformats.org/officeDocument/2006/relationships/hyperlink" Target="https://ecoinvent.org/the-ecoinvent-database/login/" TargetMode="External"/><Relationship Id="rId2" Type="http://schemas.openxmlformats.org/officeDocument/2006/relationships/hyperlink" Target="https://www.nrel.gov/bioenergy/co2-utilization-economics/conversion-pathways.html" TargetMode="External"/><Relationship Id="rId16" Type="http://schemas.openxmlformats.org/officeDocument/2006/relationships/hyperlink" Target="https://www.eia.gov/" TargetMode="External"/><Relationship Id="rId20" Type="http://schemas.openxmlformats.org/officeDocument/2006/relationships/hyperlink" Target="https://www.netl.doe.gov/energy-analysis/search?search=AnalyticalTools" TargetMode="External"/><Relationship Id="rId29" Type="http://schemas.openxmlformats.org/officeDocument/2006/relationships/hyperlink" Target="https://www.ecocostsvalue.com/data/" TargetMode="External"/><Relationship Id="rId1" Type="http://schemas.openxmlformats.org/officeDocument/2006/relationships/hyperlink" Target="https://euenergy.live/?utm_content=cmp-true" TargetMode="External"/><Relationship Id="rId6" Type="http://schemas.openxmlformats.org/officeDocument/2006/relationships/hyperlink" Target="https://onlinelibrary.wiley.com/doi/pdf/10.1002/9783527611119.app4" TargetMode="External"/><Relationship Id="rId11" Type="http://schemas.openxmlformats.org/officeDocument/2006/relationships/hyperlink" Target="https://nifa.usda.gov/land-grant-colleges-and-universities-partner-website-directory" TargetMode="External"/><Relationship Id="rId24" Type="http://schemas.openxmlformats.org/officeDocument/2006/relationships/hyperlink" Target="https://netl.doe.gov/projects/files/FENETLCO2TransportCostModel2018DescriptionandUsersManual_050718.pdf" TargetMode="External"/><Relationship Id="rId32" Type="http://schemas.openxmlformats.org/officeDocument/2006/relationships/hyperlink" Target="https://openei.org/apps/LCA/" TargetMode="External"/><Relationship Id="rId37" Type="http://schemas.openxmlformats.org/officeDocument/2006/relationships/hyperlink" Target="https://www.ifu.com/umberto/estimol/" TargetMode="External"/><Relationship Id="rId40" Type="http://schemas.openxmlformats.org/officeDocument/2006/relationships/drawing" Target="../drawings/drawing6.xml"/><Relationship Id="rId5" Type="http://schemas.openxmlformats.org/officeDocument/2006/relationships/hyperlink" Target="https://www.sciencedirect.com/science/article/pii/B9780081025994000060" TargetMode="External"/><Relationship Id="rId15" Type="http://schemas.openxmlformats.org/officeDocument/2006/relationships/hyperlink" Target="http://pages.stern.nyu.edu/~adamodar/New_Home_Page/datacurrent.html" TargetMode="External"/><Relationship Id="rId23" Type="http://schemas.openxmlformats.org/officeDocument/2006/relationships/hyperlink" Target="https://www.netl.doe.gov/projects/files/FENETLCO2TransportCostModel2018ModelOverview_050818.pdf" TargetMode="External"/><Relationship Id="rId28" Type="http://schemas.openxmlformats.org/officeDocument/2006/relationships/hyperlink" Target="https://www.ghgenius.ca/" TargetMode="External"/><Relationship Id="rId36" Type="http://schemas.openxmlformats.org/officeDocument/2006/relationships/hyperlink" Target="https://www.worldsteel.org/steel-by-topic/life-cycle-thinking.html" TargetMode="External"/><Relationship Id="rId10" Type="http://schemas.openxmlformats.org/officeDocument/2006/relationships/hyperlink" Target="https://www.engineeringtoolbox.com/" TargetMode="External"/><Relationship Id="rId19" Type="http://schemas.openxmlformats.org/officeDocument/2006/relationships/hyperlink" Target="https://openei.org/apps/TCDB/" TargetMode="External"/><Relationship Id="rId31" Type="http://schemas.openxmlformats.org/officeDocument/2006/relationships/hyperlink" Target="https://www.nrel.gov/analysis/sustainability.html" TargetMode="External"/><Relationship Id="rId4" Type="http://schemas.openxmlformats.org/officeDocument/2006/relationships/hyperlink" Target="https://www.netl.doe.gov/energy-analysis/details?id=1026" TargetMode="External"/><Relationship Id="rId9" Type="http://schemas.openxmlformats.org/officeDocument/2006/relationships/hyperlink" Target="https://chembugs.files.wordpress.com/2015/12/perrys-chemical-engineering-handbook1.pdf" TargetMode="External"/><Relationship Id="rId14" Type="http://schemas.openxmlformats.org/officeDocument/2006/relationships/hyperlink" Target="http://pages.stern.nyu.edu/~adamodar/New_Home_Page/datafile/wacc.html" TargetMode="External"/><Relationship Id="rId22" Type="http://schemas.openxmlformats.org/officeDocument/2006/relationships/hyperlink" Target="https://www.netl.doe.gov/energy-analysis/details?id=543" TargetMode="External"/><Relationship Id="rId27" Type="http://schemas.openxmlformats.org/officeDocument/2006/relationships/hyperlink" Target="https://greet.es.anl.gov/" TargetMode="External"/><Relationship Id="rId30" Type="http://schemas.openxmlformats.org/officeDocument/2006/relationships/hyperlink" Target="https://www.netl.doe.gov/LCA" TargetMode="External"/><Relationship Id="rId35" Type="http://schemas.openxmlformats.org/officeDocument/2006/relationships/hyperlink" Target="https://www.plasticseurope.org/en/resources/eco-profiles" TargetMode="External"/><Relationship Id="rId8" Type="http://schemas.openxmlformats.org/officeDocument/2006/relationships/hyperlink" Target="http://www.mhhe.com/engcs/chemical/peters/data/" TargetMode="External"/><Relationship Id="rId3" Type="http://schemas.openxmlformats.org/officeDocument/2006/relationships/hyperlink" Target="https://scholar.goog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showGridLines="0" tabSelected="1" workbookViewId="0"/>
  </sheetViews>
  <sheetFormatPr defaultColWidth="14.42578125" defaultRowHeight="15" customHeight="1"/>
  <cols>
    <col min="1" max="1" width="18.42578125" customWidth="1"/>
    <col min="2" max="2" width="16" customWidth="1"/>
    <col min="3" max="6" width="28.7109375" customWidth="1"/>
    <col min="7" max="7" width="10.42578125" customWidth="1"/>
    <col min="8" max="8" width="12" customWidth="1"/>
    <col min="9" max="9" width="6.85546875" customWidth="1"/>
  </cols>
  <sheetData>
    <row r="1" spans="1:9" ht="13.5" customHeight="1">
      <c r="A1" s="302" t="s">
        <v>0</v>
      </c>
      <c r="B1" s="346"/>
      <c r="C1" s="346"/>
      <c r="D1" s="346"/>
      <c r="E1" s="346"/>
      <c r="F1" s="346"/>
      <c r="G1" s="346"/>
      <c r="H1" s="346"/>
      <c r="I1" s="347"/>
    </row>
    <row r="2" spans="1:9" ht="13.5" customHeight="1">
      <c r="A2" s="348"/>
      <c r="B2" s="349"/>
      <c r="C2" s="349"/>
      <c r="D2" s="349"/>
      <c r="E2" s="349"/>
      <c r="F2" s="349"/>
      <c r="G2" s="349"/>
      <c r="H2" s="349"/>
      <c r="I2" s="350"/>
    </row>
    <row r="3" spans="1:9" ht="13.5" customHeight="1">
      <c r="A3" s="348"/>
      <c r="B3" s="349"/>
      <c r="C3" s="349"/>
      <c r="D3" s="349"/>
      <c r="E3" s="349"/>
      <c r="F3" s="349"/>
      <c r="G3" s="349"/>
      <c r="H3" s="349"/>
      <c r="I3" s="350"/>
    </row>
    <row r="4" spans="1:9" ht="13.5" customHeight="1">
      <c r="A4" s="351"/>
      <c r="B4" s="1"/>
      <c r="C4" s="1"/>
      <c r="D4" s="2" t="s">
        <v>1</v>
      </c>
      <c r="E4" s="1"/>
      <c r="F4" s="1"/>
      <c r="G4" s="1"/>
      <c r="H4" s="1"/>
      <c r="I4" s="352"/>
    </row>
    <row r="5" spans="1:9" ht="13.5" customHeight="1">
      <c r="A5" s="351"/>
      <c r="B5" s="303" t="s">
        <v>2</v>
      </c>
      <c r="C5" s="349"/>
      <c r="D5" s="349"/>
      <c r="E5" s="349"/>
      <c r="F5" s="349"/>
      <c r="G5" s="349"/>
      <c r="H5" s="349"/>
      <c r="I5" s="350"/>
    </row>
    <row r="6" spans="1:9" ht="13.5" customHeight="1">
      <c r="A6" s="353" t="s">
        <v>3</v>
      </c>
      <c r="B6" s="349"/>
      <c r="C6" s="349"/>
      <c r="D6" s="349"/>
      <c r="E6" s="349"/>
      <c r="F6" s="349"/>
      <c r="G6" s="349"/>
      <c r="H6" s="349"/>
      <c r="I6" s="350"/>
    </row>
    <row r="7" spans="1:9" ht="13.5" customHeight="1">
      <c r="A7" s="351"/>
      <c r="B7" s="349"/>
      <c r="C7" s="349"/>
      <c r="D7" s="349"/>
      <c r="E7" s="349"/>
      <c r="F7" s="349"/>
      <c r="G7" s="349"/>
      <c r="H7" s="349"/>
      <c r="I7" s="350"/>
    </row>
    <row r="8" spans="1:9" ht="13.5" customHeight="1">
      <c r="A8" s="351"/>
      <c r="B8" s="3"/>
      <c r="C8" s="3"/>
      <c r="D8" s="3"/>
      <c r="E8" s="3"/>
      <c r="F8" s="3"/>
      <c r="G8" s="3"/>
      <c r="H8" s="3"/>
      <c r="I8" s="354"/>
    </row>
    <row r="9" spans="1:9" ht="13.5" customHeight="1">
      <c r="A9" s="351"/>
      <c r="B9" s="303" t="s">
        <v>4</v>
      </c>
      <c r="C9" s="349"/>
      <c r="D9" s="349"/>
      <c r="E9" s="349"/>
      <c r="F9" s="349"/>
      <c r="G9" s="349"/>
      <c r="H9" s="349"/>
      <c r="I9" s="350"/>
    </row>
    <row r="10" spans="1:9" ht="13.5" customHeight="1">
      <c r="A10" s="353" t="s">
        <v>5</v>
      </c>
      <c r="B10" s="349"/>
      <c r="C10" s="349"/>
      <c r="D10" s="349"/>
      <c r="E10" s="349"/>
      <c r="F10" s="349"/>
      <c r="G10" s="349"/>
      <c r="H10" s="349"/>
      <c r="I10" s="350"/>
    </row>
    <row r="11" spans="1:9" ht="13.5" customHeight="1">
      <c r="A11" s="351"/>
      <c r="B11" s="349"/>
      <c r="C11" s="349"/>
      <c r="D11" s="349"/>
      <c r="E11" s="349"/>
      <c r="F11" s="349"/>
      <c r="G11" s="349"/>
      <c r="H11" s="349"/>
      <c r="I11" s="350"/>
    </row>
    <row r="12" spans="1:9" ht="13.5" customHeight="1">
      <c r="A12" s="351"/>
      <c r="B12" s="3"/>
      <c r="C12" s="3"/>
      <c r="D12" s="3"/>
      <c r="E12" s="3"/>
      <c r="F12" s="3"/>
      <c r="G12" s="3"/>
      <c r="H12" s="3"/>
      <c r="I12" s="354"/>
    </row>
    <row r="13" spans="1:9" ht="13.5" customHeight="1">
      <c r="A13" s="351"/>
      <c r="B13" s="304" t="s">
        <v>6</v>
      </c>
      <c r="C13" s="349"/>
      <c r="D13" s="349"/>
      <c r="E13" s="349"/>
      <c r="F13" s="349"/>
      <c r="G13" s="349"/>
      <c r="H13" s="349"/>
      <c r="I13" s="350"/>
    </row>
    <row r="14" spans="1:9" ht="13.5" customHeight="1">
      <c r="A14" s="353" t="s">
        <v>7</v>
      </c>
      <c r="B14" s="349"/>
      <c r="C14" s="349"/>
      <c r="D14" s="349"/>
      <c r="E14" s="349"/>
      <c r="F14" s="349"/>
      <c r="G14" s="349"/>
      <c r="H14" s="349"/>
      <c r="I14" s="350"/>
    </row>
    <row r="15" spans="1:9" ht="13.5" customHeight="1">
      <c r="A15" s="351"/>
      <c r="B15" s="349"/>
      <c r="C15" s="349"/>
      <c r="D15" s="349"/>
      <c r="E15" s="349"/>
      <c r="F15" s="349"/>
      <c r="G15" s="349"/>
      <c r="H15" s="349"/>
      <c r="I15" s="350"/>
    </row>
    <row r="16" spans="1:9" ht="13.5" customHeight="1">
      <c r="A16" s="351"/>
      <c r="I16" s="355"/>
    </row>
    <row r="17" spans="1:9" ht="13.5" customHeight="1">
      <c r="A17" s="353" t="s">
        <v>8</v>
      </c>
      <c r="B17" s="303" t="s">
        <v>9</v>
      </c>
      <c r="C17" s="349"/>
      <c r="D17" s="349"/>
      <c r="E17" s="349"/>
      <c r="F17" s="349"/>
      <c r="G17" s="349"/>
      <c r="H17" s="349"/>
      <c r="I17" s="350"/>
    </row>
    <row r="18" spans="1:9" ht="13.5" customHeight="1">
      <c r="A18" s="351"/>
      <c r="B18" s="349"/>
      <c r="C18" s="349"/>
      <c r="D18" s="349"/>
      <c r="E18" s="349"/>
      <c r="F18" s="349"/>
      <c r="G18" s="349"/>
      <c r="H18" s="349"/>
      <c r="I18" s="350"/>
    </row>
    <row r="19" spans="1:9" ht="13.5" customHeight="1">
      <c r="A19" s="351"/>
      <c r="B19" s="349"/>
      <c r="C19" s="349"/>
      <c r="D19" s="349"/>
      <c r="E19" s="349"/>
      <c r="F19" s="349"/>
      <c r="G19" s="349"/>
      <c r="H19" s="349"/>
      <c r="I19" s="350"/>
    </row>
    <row r="20" spans="1:9" ht="13.5" customHeight="1">
      <c r="A20" s="351"/>
      <c r="B20" s="1"/>
      <c r="C20" s="1"/>
      <c r="D20" s="1"/>
      <c r="E20" s="1"/>
      <c r="F20" s="1"/>
      <c r="G20" s="1"/>
      <c r="H20" s="1"/>
      <c r="I20" s="352"/>
    </row>
    <row r="21" spans="1:9" ht="13.5" customHeight="1">
      <c r="A21" s="356"/>
      <c r="B21" s="357" t="s">
        <v>10</v>
      </c>
      <c r="C21" s="358" t="s">
        <v>11</v>
      </c>
      <c r="D21" s="358" t="s">
        <v>12</v>
      </c>
      <c r="E21" s="358" t="s">
        <v>13</v>
      </c>
      <c r="F21" s="358" t="s">
        <v>14</v>
      </c>
      <c r="G21" s="4"/>
      <c r="H21" s="5"/>
      <c r="I21" s="359"/>
    </row>
    <row r="22" spans="1:9">
      <c r="A22" s="351"/>
      <c r="B22" s="6" t="s">
        <v>15</v>
      </c>
      <c r="C22" s="7" t="s">
        <v>16</v>
      </c>
      <c r="D22" s="7" t="s">
        <v>17</v>
      </c>
      <c r="E22" s="7" t="s">
        <v>18</v>
      </c>
      <c r="F22" s="7" t="s">
        <v>19</v>
      </c>
      <c r="H22" s="8"/>
      <c r="I22" s="360"/>
    </row>
    <row r="23" spans="1:9">
      <c r="A23" s="351"/>
      <c r="B23" s="361" t="s">
        <v>20</v>
      </c>
      <c r="C23" s="362" t="s">
        <v>21</v>
      </c>
      <c r="D23" s="362" t="s">
        <v>22</v>
      </c>
      <c r="E23" s="362" t="s">
        <v>23</v>
      </c>
      <c r="F23" s="362" t="s">
        <v>24</v>
      </c>
      <c r="H23" s="8"/>
      <c r="I23" s="360"/>
    </row>
    <row r="24" spans="1:9" ht="36" customHeight="1">
      <c r="A24" s="353" t="s">
        <v>25</v>
      </c>
      <c r="B24" s="361" t="s">
        <v>26</v>
      </c>
      <c r="C24" s="362" t="s">
        <v>27</v>
      </c>
      <c r="D24" s="362" t="s">
        <v>28</v>
      </c>
      <c r="E24" s="362" t="s">
        <v>29</v>
      </c>
      <c r="F24" s="362" t="s">
        <v>30</v>
      </c>
      <c r="H24" s="8"/>
      <c r="I24" s="360"/>
    </row>
    <row r="25" spans="1:9" ht="13.5" customHeight="1">
      <c r="A25" s="351"/>
      <c r="B25" s="361" t="s">
        <v>31</v>
      </c>
      <c r="C25" s="363" t="s">
        <v>32</v>
      </c>
      <c r="D25" s="363" t="s">
        <v>33</v>
      </c>
      <c r="E25" s="362" t="s">
        <v>34</v>
      </c>
      <c r="F25" s="362" t="s">
        <v>35</v>
      </c>
      <c r="H25" s="1"/>
      <c r="I25" s="352"/>
    </row>
    <row r="26" spans="1:9" ht="13.5" customHeight="1">
      <c r="A26" s="351"/>
      <c r="B26" s="361" t="s">
        <v>36</v>
      </c>
      <c r="C26" s="362" t="s">
        <v>37</v>
      </c>
      <c r="D26" s="362" t="s">
        <v>38</v>
      </c>
      <c r="E26" s="362" t="s">
        <v>39</v>
      </c>
      <c r="F26" s="362" t="s">
        <v>40</v>
      </c>
      <c r="H26" s="1"/>
      <c r="I26" s="352"/>
    </row>
    <row r="27" spans="1:9" ht="13.5" customHeight="1">
      <c r="A27" s="351"/>
      <c r="B27" s="361" t="s">
        <v>41</v>
      </c>
      <c r="C27" s="362" t="s">
        <v>42</v>
      </c>
      <c r="D27" s="362" t="s">
        <v>43</v>
      </c>
      <c r="E27" s="362" t="s">
        <v>44</v>
      </c>
      <c r="F27" s="362" t="s">
        <v>45</v>
      </c>
      <c r="H27" s="1"/>
      <c r="I27" s="352"/>
    </row>
    <row r="28" spans="1:9" ht="13.5" customHeight="1">
      <c r="A28" s="351"/>
      <c r="B28" s="361" t="s">
        <v>46</v>
      </c>
      <c r="C28" s="363" t="s">
        <v>47</v>
      </c>
      <c r="D28" s="362" t="s">
        <v>48</v>
      </c>
      <c r="E28" s="362" t="s">
        <v>49</v>
      </c>
      <c r="F28" s="362" t="s">
        <v>50</v>
      </c>
      <c r="H28" s="1"/>
      <c r="I28" s="352"/>
    </row>
    <row r="29" spans="1:9" ht="13.5" customHeight="1">
      <c r="A29" s="351"/>
      <c r="B29" s="9" t="s">
        <v>51</v>
      </c>
      <c r="C29" s="10" t="s">
        <v>52</v>
      </c>
      <c r="D29" s="10" t="s">
        <v>53</v>
      </c>
      <c r="E29" s="10" t="s">
        <v>54</v>
      </c>
      <c r="F29" s="10" t="s">
        <v>55</v>
      </c>
      <c r="H29" s="1"/>
      <c r="I29" s="352"/>
    </row>
    <row r="30" spans="1:9" ht="13.5" customHeight="1">
      <c r="A30" s="351"/>
      <c r="B30" s="11" t="s">
        <v>56</v>
      </c>
      <c r="F30" s="1"/>
      <c r="G30" s="1"/>
      <c r="H30" s="1"/>
      <c r="I30" s="352"/>
    </row>
    <row r="31" spans="1:9" ht="13.5" customHeight="1">
      <c r="A31" s="364"/>
      <c r="B31" s="1"/>
      <c r="C31" s="1"/>
      <c r="G31" s="1"/>
      <c r="H31" s="1"/>
      <c r="I31" s="352"/>
    </row>
    <row r="32" spans="1:9" ht="13.5" customHeight="1">
      <c r="A32" s="353" t="s">
        <v>57</v>
      </c>
      <c r="B32" s="305" t="s">
        <v>58</v>
      </c>
      <c r="C32" s="349"/>
      <c r="D32" s="349"/>
      <c r="E32" s="349"/>
      <c r="F32" s="349"/>
      <c r="G32" s="349"/>
      <c r="H32" s="349"/>
      <c r="I32" s="350"/>
    </row>
    <row r="33" spans="1:9" ht="13.5" customHeight="1">
      <c r="A33" s="351"/>
      <c r="B33" s="349"/>
      <c r="C33" s="349"/>
      <c r="D33" s="349"/>
      <c r="E33" s="349"/>
      <c r="F33" s="349"/>
      <c r="G33" s="349"/>
      <c r="H33" s="349"/>
      <c r="I33" s="350"/>
    </row>
    <row r="34" spans="1:9" ht="13.5" customHeight="1">
      <c r="A34" s="351"/>
      <c r="B34" s="349"/>
      <c r="C34" s="349"/>
      <c r="D34" s="349"/>
      <c r="E34" s="349"/>
      <c r="F34" s="349"/>
      <c r="G34" s="349"/>
      <c r="H34" s="349"/>
      <c r="I34" s="350"/>
    </row>
    <row r="35" spans="1:9" ht="13.5" customHeight="1">
      <c r="A35" s="364"/>
      <c r="B35" s="1"/>
      <c r="C35" s="1"/>
      <c r="G35" s="1"/>
      <c r="H35" s="1"/>
      <c r="I35" s="352"/>
    </row>
    <row r="36" spans="1:9" ht="13.5" customHeight="1">
      <c r="A36" s="1"/>
      <c r="D36" s="12" t="s">
        <v>59</v>
      </c>
      <c r="E36" s="13" t="s">
        <v>60</v>
      </c>
    </row>
    <row r="37" spans="1:9" ht="13.5" customHeight="1">
      <c r="A37" s="353" t="s">
        <v>61</v>
      </c>
      <c r="B37" s="14" t="s">
        <v>62</v>
      </c>
      <c r="C37" s="1"/>
      <c r="D37" s="1"/>
      <c r="E37" s="13" t="s">
        <v>63</v>
      </c>
      <c r="G37" s="8"/>
      <c r="H37" s="1"/>
      <c r="I37" s="352"/>
    </row>
    <row r="38" spans="1:9" ht="13.5" customHeight="1">
      <c r="A38" s="351"/>
      <c r="B38" s="15" t="s">
        <v>64</v>
      </c>
      <c r="C38" s="1"/>
      <c r="E38" s="16" t="s">
        <v>65</v>
      </c>
      <c r="G38" s="8"/>
      <c r="H38" s="1"/>
      <c r="I38" s="352"/>
    </row>
    <row r="39" spans="1:9" ht="13.5" customHeight="1">
      <c r="A39" s="351"/>
      <c r="B39" s="8"/>
      <c r="C39" s="8"/>
      <c r="D39" s="1"/>
      <c r="E39" s="13" t="s">
        <v>66</v>
      </c>
      <c r="G39" s="8"/>
      <c r="H39" s="1"/>
      <c r="I39" s="352"/>
    </row>
    <row r="40" spans="1:9" ht="13.5" customHeight="1">
      <c r="A40" s="365"/>
      <c r="C40" s="1"/>
      <c r="D40" s="1"/>
      <c r="E40" s="13" t="s">
        <v>67</v>
      </c>
      <c r="G40" s="1"/>
      <c r="H40" s="1"/>
      <c r="I40" s="352"/>
    </row>
    <row r="41" spans="1:9" ht="13.5" customHeight="1">
      <c r="A41" s="365"/>
      <c r="C41" s="1"/>
      <c r="D41" s="1"/>
      <c r="E41" s="13" t="s">
        <v>68</v>
      </c>
      <c r="G41" s="1"/>
      <c r="H41" s="1"/>
      <c r="I41" s="352"/>
    </row>
    <row r="42" spans="1:9" ht="13.5" customHeight="1">
      <c r="A42" s="17"/>
      <c r="B42" s="18"/>
      <c r="C42" s="18"/>
      <c r="D42" s="19"/>
      <c r="E42" s="20" t="s">
        <v>69</v>
      </c>
      <c r="F42" s="18"/>
      <c r="G42" s="19"/>
      <c r="H42" s="19"/>
      <c r="I42" s="21"/>
    </row>
    <row r="43" spans="1:9" ht="13.5" customHeight="1">
      <c r="A43" s="11" t="s">
        <v>70</v>
      </c>
      <c r="C43" s="1"/>
      <c r="D43" s="1"/>
      <c r="E43" s="1"/>
      <c r="F43" s="1"/>
      <c r="G43" s="1"/>
      <c r="H43" s="1"/>
      <c r="I43" s="1"/>
    </row>
  </sheetData>
  <mergeCells count="6">
    <mergeCell ref="B32:I34"/>
    <mergeCell ref="A1:I3"/>
    <mergeCell ref="B5:I7"/>
    <mergeCell ref="B9:I11"/>
    <mergeCell ref="B13:I15"/>
    <mergeCell ref="B17:I19"/>
  </mergeCells>
  <hyperlinks>
    <hyperlink ref="E36" r:id="rId1" xr:uid="{00000000-0004-0000-0000-000000000000}"/>
    <hyperlink ref="E37" r:id="rId2" xr:uid="{00000000-0004-0000-0000-000001000000}"/>
    <hyperlink ref="E38" r:id="rId3" xr:uid="{00000000-0004-0000-0000-000002000000}"/>
    <hyperlink ref="E39" r:id="rId4" xr:uid="{00000000-0004-0000-0000-000003000000}"/>
    <hyperlink ref="E40" r:id="rId5" xr:uid="{00000000-0004-0000-0000-000004000000}"/>
    <hyperlink ref="E41" r:id="rId6" xr:uid="{00000000-0004-0000-0000-000005000000}"/>
    <hyperlink ref="E42" r:id="rId7" xr:uid="{00000000-0004-0000-0000-000006000000}"/>
  </hyperlinks>
  <pageMargins left="0.7" right="0.7" top="0.75" bottom="0.75" header="0" footer="0"/>
  <pageSetup paperSize="8" orientation="landscape"/>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1"/>
  <sheetViews>
    <sheetView showGridLines="0" workbookViewId="0"/>
  </sheetViews>
  <sheetFormatPr defaultColWidth="14.42578125" defaultRowHeight="15" customHeight="1"/>
  <cols>
    <col min="1" max="1" width="12" customWidth="1"/>
    <col min="2" max="4" width="10.85546875" customWidth="1"/>
    <col min="5" max="5" width="49.28515625" customWidth="1"/>
    <col min="6" max="6" width="18.85546875" customWidth="1"/>
    <col min="7" max="18" width="10.85546875" customWidth="1"/>
  </cols>
  <sheetData>
    <row r="1" spans="1:18" ht="15" customHeight="1">
      <c r="A1" s="307" t="s">
        <v>71</v>
      </c>
      <c r="B1" s="366"/>
      <c r="C1" s="366"/>
      <c r="D1" s="366"/>
      <c r="E1" s="366"/>
      <c r="F1" s="366"/>
      <c r="G1" s="366"/>
      <c r="H1" s="366"/>
      <c r="I1" s="367"/>
      <c r="J1" s="1"/>
      <c r="K1" s="1"/>
      <c r="L1" s="1"/>
      <c r="M1" s="1"/>
      <c r="N1" s="1"/>
      <c r="O1" s="1"/>
      <c r="P1" s="1"/>
      <c r="Q1" s="1"/>
      <c r="R1" s="1"/>
    </row>
    <row r="2" spans="1:18" ht="15" customHeight="1">
      <c r="A2" s="368"/>
      <c r="B2" s="349"/>
      <c r="C2" s="349"/>
      <c r="D2" s="349"/>
      <c r="E2" s="349"/>
      <c r="F2" s="349"/>
      <c r="G2" s="349"/>
      <c r="H2" s="349"/>
      <c r="I2" s="369"/>
      <c r="J2" s="1"/>
      <c r="K2" s="308" t="s">
        <v>72</v>
      </c>
      <c r="L2" s="349"/>
      <c r="M2" s="349"/>
      <c r="N2" s="349"/>
      <c r="O2" s="1"/>
      <c r="P2" s="1"/>
      <c r="Q2" s="1"/>
      <c r="R2" s="1"/>
    </row>
    <row r="3" spans="1:18" ht="15" customHeight="1">
      <c r="A3" s="368"/>
      <c r="B3" s="370"/>
      <c r="C3" s="370"/>
      <c r="D3" s="370"/>
      <c r="E3" s="370"/>
      <c r="F3" s="370"/>
      <c r="G3" s="370"/>
      <c r="H3" s="370"/>
      <c r="I3" s="369"/>
      <c r="J3" s="1"/>
      <c r="K3" s="349"/>
      <c r="L3" s="349"/>
      <c r="M3" s="349"/>
      <c r="N3" s="349"/>
      <c r="O3" s="1"/>
      <c r="P3" s="1"/>
      <c r="Q3" s="1"/>
      <c r="R3" s="1"/>
    </row>
    <row r="4" spans="1:18" ht="13.5" customHeight="1">
      <c r="A4" s="371"/>
      <c r="B4" s="1"/>
      <c r="C4" s="1"/>
      <c r="D4" s="1"/>
      <c r="E4" s="1"/>
      <c r="F4" s="1"/>
      <c r="G4" s="1"/>
      <c r="H4" s="1"/>
      <c r="I4" s="372"/>
      <c r="J4" s="1"/>
      <c r="K4" s="1"/>
      <c r="L4" s="1"/>
      <c r="M4" s="1"/>
      <c r="N4" s="1"/>
      <c r="O4" s="1"/>
      <c r="P4" s="1"/>
      <c r="Q4" s="1"/>
      <c r="R4" s="1"/>
    </row>
    <row r="5" spans="1:18" ht="15" customHeight="1">
      <c r="A5" s="1"/>
      <c r="B5" s="22"/>
      <c r="C5" s="22"/>
      <c r="D5" s="22"/>
      <c r="E5" s="22"/>
      <c r="F5" s="22"/>
      <c r="G5" s="22"/>
      <c r="H5" s="22"/>
      <c r="I5" s="373"/>
      <c r="J5" s="1"/>
      <c r="K5" s="374" t="s">
        <v>73</v>
      </c>
      <c r="L5" s="349"/>
      <c r="M5" s="349"/>
      <c r="N5" s="349"/>
      <c r="O5" s="349"/>
      <c r="P5" s="349"/>
      <c r="Q5" s="349"/>
      <c r="R5" s="349"/>
    </row>
    <row r="6" spans="1:18" ht="63.75" customHeight="1">
      <c r="A6" s="375"/>
      <c r="B6" s="22"/>
      <c r="C6" s="22"/>
      <c r="D6" s="1"/>
      <c r="E6" s="309" t="s">
        <v>74</v>
      </c>
      <c r="F6" s="349"/>
      <c r="G6" s="23"/>
      <c r="H6" s="23"/>
      <c r="I6" s="376"/>
      <c r="J6" s="1"/>
      <c r="K6" s="368"/>
      <c r="L6" s="349"/>
      <c r="M6" s="349"/>
      <c r="N6" s="349"/>
      <c r="O6" s="349"/>
      <c r="P6" s="349"/>
      <c r="Q6" s="349"/>
      <c r="R6" s="349"/>
    </row>
    <row r="7" spans="1:18" ht="31.5" customHeight="1">
      <c r="A7" s="375"/>
      <c r="B7" s="22"/>
      <c r="C7" s="22"/>
      <c r="D7" s="22"/>
      <c r="E7" s="24" t="s">
        <v>75</v>
      </c>
      <c r="F7" s="24"/>
      <c r="G7" s="24"/>
      <c r="H7" s="22"/>
      <c r="I7" s="373"/>
      <c r="J7" s="1"/>
      <c r="K7" s="368"/>
      <c r="L7" s="349"/>
      <c r="M7" s="349"/>
      <c r="N7" s="349"/>
      <c r="O7" s="349"/>
      <c r="P7" s="349"/>
      <c r="Q7" s="349"/>
      <c r="R7" s="349"/>
    </row>
    <row r="8" spans="1:18" ht="13.5" customHeight="1">
      <c r="A8" s="375"/>
      <c r="B8" s="22"/>
      <c r="C8" s="22"/>
      <c r="D8" s="22"/>
      <c r="E8" s="22"/>
      <c r="F8" s="22"/>
      <c r="G8" s="22"/>
      <c r="H8" s="22"/>
      <c r="I8" s="373"/>
      <c r="J8" s="1"/>
      <c r="K8" s="368"/>
      <c r="L8" s="349"/>
      <c r="M8" s="349"/>
      <c r="N8" s="349"/>
      <c r="O8" s="349"/>
      <c r="P8" s="349"/>
      <c r="Q8" s="349"/>
      <c r="R8" s="349"/>
    </row>
    <row r="9" spans="1:18" ht="49.5" customHeight="1">
      <c r="A9" s="11"/>
      <c r="B9" s="1"/>
      <c r="C9" s="1"/>
      <c r="D9" s="1"/>
      <c r="E9" s="1"/>
      <c r="F9" s="1"/>
      <c r="G9" s="1"/>
      <c r="H9" s="1"/>
      <c r="I9" s="372"/>
      <c r="J9" s="1"/>
      <c r="K9" s="25"/>
      <c r="L9" s="25"/>
      <c r="M9" s="25"/>
      <c r="N9" s="25"/>
      <c r="O9" s="25"/>
      <c r="P9" s="25"/>
      <c r="Q9" s="25"/>
      <c r="R9" s="25"/>
    </row>
    <row r="10" spans="1:18" ht="15" customHeight="1">
      <c r="A10" s="377" t="s">
        <v>76</v>
      </c>
      <c r="B10" s="370"/>
      <c r="C10" s="370"/>
      <c r="D10" s="370"/>
      <c r="E10" s="370"/>
      <c r="F10" s="370"/>
      <c r="G10" s="370"/>
      <c r="H10" s="370"/>
      <c r="I10" s="369"/>
      <c r="J10" s="1"/>
      <c r="K10" s="25"/>
      <c r="L10" s="25"/>
      <c r="M10" s="25"/>
      <c r="N10" s="25"/>
      <c r="O10" s="25"/>
      <c r="P10" s="25"/>
      <c r="Q10" s="25"/>
      <c r="R10" s="25"/>
    </row>
    <row r="11" spans="1:18" ht="15" customHeight="1">
      <c r="A11" s="368"/>
      <c r="B11" s="370"/>
      <c r="C11" s="370"/>
      <c r="D11" s="370"/>
      <c r="E11" s="370"/>
      <c r="F11" s="370"/>
      <c r="G11" s="370"/>
      <c r="H11" s="370"/>
      <c r="I11" s="369"/>
      <c r="J11" s="1"/>
      <c r="K11" s="25"/>
      <c r="L11" s="25"/>
      <c r="M11" s="25"/>
      <c r="N11" s="25"/>
      <c r="O11" s="25"/>
      <c r="P11" s="25"/>
      <c r="Q11" s="25"/>
      <c r="R11" s="25"/>
    </row>
    <row r="12" spans="1:18" ht="15" customHeight="1">
      <c r="A12" s="306"/>
      <c r="B12" s="349"/>
      <c r="C12" s="306"/>
      <c r="D12" s="349"/>
      <c r="E12" s="349"/>
      <c r="F12" s="349"/>
      <c r="G12" s="349"/>
      <c r="H12" s="349"/>
      <c r="I12" s="369"/>
      <c r="J12" s="1"/>
      <c r="K12" s="25"/>
      <c r="L12" s="25"/>
      <c r="M12" s="25"/>
      <c r="N12" s="25"/>
      <c r="O12" s="25"/>
      <c r="P12" s="25"/>
      <c r="Q12" s="25"/>
      <c r="R12" s="25"/>
    </row>
    <row r="13" spans="1:18" ht="13.5" customHeight="1">
      <c r="A13" s="349"/>
      <c r="B13" s="349"/>
      <c r="C13" s="349"/>
      <c r="D13" s="349"/>
      <c r="E13" s="349"/>
      <c r="F13" s="349"/>
      <c r="G13" s="349"/>
      <c r="H13" s="349"/>
      <c r="I13" s="369"/>
      <c r="J13" s="1"/>
      <c r="K13" s="25"/>
      <c r="L13" s="25"/>
      <c r="M13" s="25"/>
      <c r="N13" s="25"/>
      <c r="O13" s="25"/>
      <c r="P13" s="25"/>
      <c r="Q13" s="25"/>
      <c r="R13" s="25"/>
    </row>
    <row r="14" spans="1:18" ht="13.5" customHeight="1">
      <c r="A14" s="349"/>
      <c r="B14" s="349"/>
      <c r="C14" s="349"/>
      <c r="D14" s="349"/>
      <c r="E14" s="349"/>
      <c r="F14" s="349"/>
      <c r="G14" s="349"/>
      <c r="H14" s="349"/>
      <c r="I14" s="369"/>
      <c r="J14" s="1"/>
      <c r="K14" s="378" t="s">
        <v>77</v>
      </c>
      <c r="L14" s="349"/>
      <c r="M14" s="349"/>
      <c r="N14" s="349"/>
      <c r="O14" s="349"/>
      <c r="P14" s="349"/>
      <c r="Q14" s="349"/>
      <c r="R14" s="349"/>
    </row>
    <row r="15" spans="1:18" ht="13.5" customHeight="1">
      <c r="A15" s="26"/>
      <c r="B15" s="26"/>
      <c r="C15" s="306"/>
      <c r="D15" s="349"/>
      <c r="E15" s="349"/>
      <c r="F15" s="349"/>
      <c r="G15" s="349"/>
      <c r="H15" s="349"/>
      <c r="I15" s="369"/>
      <c r="J15" s="1"/>
      <c r="K15" s="368"/>
      <c r="L15" s="349"/>
      <c r="M15" s="349"/>
      <c r="N15" s="349"/>
      <c r="O15" s="349"/>
      <c r="P15" s="349"/>
      <c r="Q15" s="349"/>
      <c r="R15" s="349"/>
    </row>
    <row r="16" spans="1:18" ht="13.5" customHeight="1">
      <c r="A16" s="26"/>
      <c r="B16" s="26"/>
      <c r="C16" s="306"/>
      <c r="D16" s="349"/>
      <c r="E16" s="349"/>
      <c r="F16" s="349"/>
      <c r="G16" s="349"/>
      <c r="H16" s="349"/>
      <c r="I16" s="369"/>
      <c r="J16" s="1"/>
      <c r="K16" s="368"/>
      <c r="L16" s="349"/>
      <c r="M16" s="349"/>
      <c r="N16" s="349"/>
      <c r="O16" s="349"/>
      <c r="P16" s="349"/>
      <c r="Q16" s="349"/>
      <c r="R16" s="349"/>
    </row>
    <row r="17" spans="1:18" ht="13.5" customHeight="1">
      <c r="A17" s="26"/>
      <c r="B17" s="26"/>
      <c r="C17" s="306"/>
      <c r="D17" s="349"/>
      <c r="E17" s="349"/>
      <c r="F17" s="349"/>
      <c r="G17" s="349"/>
      <c r="H17" s="349"/>
      <c r="I17" s="369"/>
      <c r="J17" s="1"/>
      <c r="K17" s="368"/>
      <c r="L17" s="349"/>
      <c r="M17" s="349"/>
      <c r="N17" s="349"/>
      <c r="O17" s="349"/>
      <c r="P17" s="349"/>
      <c r="Q17" s="349"/>
      <c r="R17" s="349"/>
    </row>
    <row r="18" spans="1:18" ht="13.5" customHeight="1">
      <c r="A18" s="26"/>
      <c r="B18" s="26"/>
      <c r="C18" s="26"/>
      <c r="D18" s="26"/>
      <c r="E18" s="26"/>
      <c r="F18" s="26"/>
      <c r="G18" s="26"/>
      <c r="H18" s="26"/>
      <c r="I18" s="379"/>
      <c r="J18" s="1"/>
      <c r="K18" s="27"/>
      <c r="L18" s="27"/>
      <c r="M18" s="27"/>
      <c r="N18" s="27"/>
      <c r="O18" s="27"/>
      <c r="P18" s="27"/>
      <c r="Q18" s="27"/>
      <c r="R18" s="27"/>
    </row>
    <row r="19" spans="1:18" ht="13.5" customHeight="1">
      <c r="A19" s="26"/>
      <c r="B19" s="26"/>
      <c r="C19" s="26"/>
      <c r="D19" s="26"/>
      <c r="E19" s="26"/>
      <c r="F19" s="26"/>
      <c r="G19" s="26"/>
      <c r="H19" s="26"/>
      <c r="I19" s="379"/>
      <c r="J19" s="1"/>
      <c r="K19" s="25"/>
      <c r="L19" s="25"/>
      <c r="M19" s="25"/>
      <c r="N19" s="25"/>
      <c r="O19" s="25"/>
      <c r="P19" s="25"/>
      <c r="Q19" s="25"/>
      <c r="R19" s="25"/>
    </row>
    <row r="20" spans="1:18" ht="13.5" customHeight="1">
      <c r="A20" s="380" t="s">
        <v>78</v>
      </c>
      <c r="B20" s="370"/>
      <c r="C20" s="370"/>
      <c r="D20" s="370"/>
      <c r="E20" s="370"/>
      <c r="F20" s="370"/>
      <c r="G20" s="370"/>
      <c r="H20" s="370"/>
      <c r="I20" s="369"/>
      <c r="J20" s="1"/>
      <c r="K20" s="25"/>
      <c r="L20" s="25"/>
      <c r="M20" s="25"/>
      <c r="N20" s="25"/>
      <c r="O20" s="25"/>
      <c r="P20" s="25"/>
      <c r="Q20" s="25"/>
      <c r="R20" s="25"/>
    </row>
    <row r="21" spans="1:18" ht="13.5" customHeight="1">
      <c r="A21" s="368"/>
      <c r="B21" s="370"/>
      <c r="C21" s="370"/>
      <c r="D21" s="370"/>
      <c r="E21" s="370"/>
      <c r="F21" s="370"/>
      <c r="G21" s="370"/>
      <c r="H21" s="370"/>
      <c r="I21" s="369"/>
      <c r="J21" s="1"/>
      <c r="K21" s="25"/>
      <c r="L21" s="25"/>
      <c r="M21" s="25"/>
      <c r="N21" s="25"/>
      <c r="O21" s="25"/>
      <c r="P21" s="25"/>
      <c r="Q21" s="25"/>
      <c r="R21" s="25"/>
    </row>
    <row r="22" spans="1:18" ht="13.5" customHeight="1">
      <c r="A22" s="381"/>
      <c r="B22" s="349"/>
      <c r="C22" s="349"/>
      <c r="D22" s="349"/>
      <c r="E22" s="349"/>
      <c r="F22" s="349"/>
      <c r="G22" s="349"/>
      <c r="H22" s="349"/>
      <c r="I22" s="369"/>
      <c r="J22" s="1"/>
      <c r="K22" s="25"/>
      <c r="L22" s="25"/>
      <c r="M22" s="25"/>
      <c r="N22" s="25"/>
      <c r="O22" s="25"/>
      <c r="P22" s="25"/>
      <c r="Q22" s="25"/>
      <c r="R22" s="25"/>
    </row>
    <row r="23" spans="1:18" ht="13.5" customHeight="1">
      <c r="A23" s="368"/>
      <c r="B23" s="349"/>
      <c r="C23" s="349"/>
      <c r="D23" s="349"/>
      <c r="E23" s="349"/>
      <c r="F23" s="349"/>
      <c r="G23" s="349"/>
      <c r="H23" s="349"/>
      <c r="I23" s="369"/>
      <c r="J23" s="1"/>
      <c r="K23" s="25"/>
      <c r="L23" s="25"/>
      <c r="M23" s="25"/>
      <c r="N23" s="25"/>
      <c r="O23" s="25"/>
      <c r="P23" s="25"/>
      <c r="Q23" s="25"/>
      <c r="R23" s="25"/>
    </row>
    <row r="24" spans="1:18" ht="13.5" customHeight="1">
      <c r="A24" s="368"/>
      <c r="B24" s="349"/>
      <c r="C24" s="349"/>
      <c r="D24" s="349"/>
      <c r="E24" s="349"/>
      <c r="F24" s="349"/>
      <c r="G24" s="349"/>
      <c r="H24" s="349"/>
      <c r="I24" s="369"/>
      <c r="J24" s="1"/>
      <c r="K24" s="378" t="s">
        <v>79</v>
      </c>
      <c r="L24" s="349"/>
      <c r="M24" s="349"/>
      <c r="N24" s="349"/>
      <c r="O24" s="349"/>
      <c r="P24" s="349"/>
      <c r="Q24" s="349"/>
      <c r="R24" s="349"/>
    </row>
    <row r="25" spans="1:18" ht="13.5" customHeight="1">
      <c r="A25" s="368"/>
      <c r="B25" s="349"/>
      <c r="C25" s="349"/>
      <c r="D25" s="349"/>
      <c r="E25" s="349"/>
      <c r="F25" s="349"/>
      <c r="G25" s="349"/>
      <c r="H25" s="349"/>
      <c r="I25" s="369"/>
      <c r="J25" s="1"/>
      <c r="K25" s="368"/>
      <c r="L25" s="349"/>
      <c r="M25" s="349"/>
      <c r="N25" s="349"/>
      <c r="O25" s="349"/>
      <c r="P25" s="349"/>
      <c r="Q25" s="349"/>
      <c r="R25" s="349"/>
    </row>
    <row r="26" spans="1:18" ht="13.5" customHeight="1">
      <c r="A26" s="368"/>
      <c r="B26" s="349"/>
      <c r="C26" s="349"/>
      <c r="D26" s="349"/>
      <c r="E26" s="349"/>
      <c r="F26" s="349"/>
      <c r="G26" s="349"/>
      <c r="H26" s="349"/>
      <c r="I26" s="369"/>
      <c r="J26" s="1"/>
      <c r="K26" s="368"/>
      <c r="L26" s="349"/>
      <c r="M26" s="349"/>
      <c r="N26" s="349"/>
      <c r="O26" s="349"/>
      <c r="P26" s="349"/>
      <c r="Q26" s="349"/>
      <c r="R26" s="349"/>
    </row>
    <row r="27" spans="1:18" ht="13.5" customHeight="1">
      <c r="A27" s="368"/>
      <c r="B27" s="349"/>
      <c r="C27" s="349"/>
      <c r="D27" s="349"/>
      <c r="E27" s="349"/>
      <c r="F27" s="349"/>
      <c r="G27" s="349"/>
      <c r="H27" s="349"/>
      <c r="I27" s="369"/>
      <c r="J27" s="1"/>
      <c r="K27" s="368"/>
      <c r="L27" s="349"/>
      <c r="M27" s="349"/>
      <c r="N27" s="349"/>
      <c r="O27" s="349"/>
      <c r="P27" s="349"/>
      <c r="Q27" s="349"/>
      <c r="R27" s="349"/>
    </row>
    <row r="28" spans="1:18" ht="13.5" customHeight="1">
      <c r="A28" s="368"/>
      <c r="B28" s="349"/>
      <c r="C28" s="349"/>
      <c r="D28" s="349"/>
      <c r="E28" s="349"/>
      <c r="F28" s="349"/>
      <c r="G28" s="349"/>
      <c r="H28" s="349"/>
      <c r="I28" s="369"/>
      <c r="J28" s="1"/>
      <c r="K28" s="27"/>
      <c r="L28" s="27"/>
      <c r="M28" s="27"/>
      <c r="N28" s="27"/>
      <c r="O28" s="27"/>
      <c r="P28" s="27"/>
      <c r="Q28" s="27"/>
      <c r="R28" s="27"/>
    </row>
    <row r="29" spans="1:18" ht="13.5" customHeight="1">
      <c r="A29" s="368"/>
      <c r="B29" s="349"/>
      <c r="C29" s="349"/>
      <c r="D29" s="349"/>
      <c r="E29" s="349"/>
      <c r="F29" s="349"/>
      <c r="G29" s="349"/>
      <c r="H29" s="349"/>
      <c r="I29" s="369"/>
      <c r="J29" s="1"/>
      <c r="K29" s="25"/>
      <c r="L29" s="25"/>
      <c r="M29" s="25"/>
      <c r="N29" s="25"/>
      <c r="O29" s="25"/>
      <c r="P29" s="25"/>
      <c r="Q29" s="25"/>
      <c r="R29" s="25"/>
    </row>
    <row r="30" spans="1:18" ht="13.5" customHeight="1">
      <c r="A30" s="380" t="s">
        <v>80</v>
      </c>
      <c r="B30" s="370"/>
      <c r="C30" s="370"/>
      <c r="D30" s="370"/>
      <c r="E30" s="370"/>
      <c r="F30" s="370"/>
      <c r="G30" s="370"/>
      <c r="H30" s="370"/>
      <c r="I30" s="369"/>
      <c r="J30" s="1"/>
      <c r="K30" s="25"/>
      <c r="L30" s="25"/>
      <c r="M30" s="25"/>
      <c r="N30" s="25"/>
      <c r="O30" s="25"/>
      <c r="P30" s="25"/>
      <c r="Q30" s="25"/>
      <c r="R30" s="25"/>
    </row>
    <row r="31" spans="1:18" ht="13.5" customHeight="1">
      <c r="A31" s="368"/>
      <c r="B31" s="370"/>
      <c r="C31" s="370"/>
      <c r="D31" s="370"/>
      <c r="E31" s="370"/>
      <c r="F31" s="370"/>
      <c r="G31" s="370"/>
      <c r="H31" s="370"/>
      <c r="I31" s="369"/>
      <c r="J31" s="1"/>
      <c r="K31" s="25"/>
      <c r="L31" s="25"/>
      <c r="M31" s="25"/>
      <c r="N31" s="25"/>
      <c r="O31" s="25"/>
      <c r="P31" s="25"/>
      <c r="Q31" s="25"/>
      <c r="R31" s="25"/>
    </row>
    <row r="32" spans="1:18" ht="19.5" customHeight="1">
      <c r="A32" s="381"/>
      <c r="B32" s="349"/>
      <c r="C32" s="349"/>
      <c r="D32" s="349"/>
      <c r="E32" s="349"/>
      <c r="F32" s="349"/>
      <c r="G32" s="349"/>
      <c r="H32" s="349"/>
      <c r="I32" s="369"/>
      <c r="J32" s="1"/>
      <c r="K32" s="25"/>
      <c r="L32" s="25"/>
      <c r="M32" s="25"/>
      <c r="N32" s="25"/>
      <c r="O32" s="25"/>
      <c r="P32" s="25"/>
      <c r="Q32" s="25"/>
      <c r="R32" s="25"/>
    </row>
    <row r="33" spans="1:18" ht="13.5" customHeight="1">
      <c r="A33" s="368"/>
      <c r="B33" s="349"/>
      <c r="C33" s="349"/>
      <c r="D33" s="349"/>
      <c r="E33" s="349"/>
      <c r="F33" s="349"/>
      <c r="G33" s="349"/>
      <c r="H33" s="349"/>
      <c r="I33" s="369"/>
      <c r="J33" s="1"/>
      <c r="K33" s="25"/>
      <c r="L33" s="25"/>
      <c r="M33" s="25"/>
      <c r="N33" s="25"/>
      <c r="O33" s="25"/>
      <c r="P33" s="25"/>
      <c r="Q33" s="25"/>
      <c r="R33" s="25"/>
    </row>
    <row r="34" spans="1:18" ht="15" customHeight="1">
      <c r="A34" s="368"/>
      <c r="B34" s="349"/>
      <c r="C34" s="349"/>
      <c r="D34" s="349"/>
      <c r="E34" s="349"/>
      <c r="F34" s="349"/>
      <c r="G34" s="349"/>
      <c r="H34" s="349"/>
      <c r="I34" s="369"/>
      <c r="J34" s="1"/>
      <c r="K34" s="378" t="s">
        <v>81</v>
      </c>
      <c r="L34" s="349"/>
      <c r="M34" s="349"/>
      <c r="N34" s="349"/>
      <c r="O34" s="349"/>
      <c r="P34" s="349"/>
      <c r="Q34" s="349"/>
      <c r="R34" s="349"/>
    </row>
    <row r="35" spans="1:18" ht="13.5" customHeight="1">
      <c r="A35" s="368"/>
      <c r="B35" s="349"/>
      <c r="C35" s="349"/>
      <c r="D35" s="349"/>
      <c r="E35" s="349"/>
      <c r="F35" s="349"/>
      <c r="G35" s="349"/>
      <c r="H35" s="349"/>
      <c r="I35" s="369"/>
      <c r="J35" s="1"/>
      <c r="K35" s="368"/>
      <c r="L35" s="349"/>
      <c r="M35" s="349"/>
      <c r="N35" s="349"/>
      <c r="O35" s="349"/>
      <c r="P35" s="349"/>
      <c r="Q35" s="349"/>
      <c r="R35" s="349"/>
    </row>
    <row r="36" spans="1:18" ht="13.5" customHeight="1">
      <c r="A36" s="368"/>
      <c r="B36" s="349"/>
      <c r="C36" s="349"/>
      <c r="D36" s="349"/>
      <c r="E36" s="349"/>
      <c r="F36" s="349"/>
      <c r="G36" s="349"/>
      <c r="H36" s="349"/>
      <c r="I36" s="369"/>
      <c r="J36" s="1"/>
      <c r="K36" s="368"/>
      <c r="L36" s="349"/>
      <c r="M36" s="349"/>
      <c r="N36" s="349"/>
      <c r="O36" s="349"/>
      <c r="P36" s="349"/>
      <c r="Q36" s="349"/>
      <c r="R36" s="349"/>
    </row>
    <row r="37" spans="1:18" ht="13.5" customHeight="1">
      <c r="A37" s="368"/>
      <c r="B37" s="349"/>
      <c r="C37" s="349"/>
      <c r="D37" s="349"/>
      <c r="E37" s="349"/>
      <c r="F37" s="349"/>
      <c r="G37" s="349"/>
      <c r="H37" s="349"/>
      <c r="I37" s="369"/>
      <c r="J37" s="1"/>
      <c r="K37" s="368"/>
      <c r="L37" s="349"/>
      <c r="M37" s="349"/>
      <c r="N37" s="349"/>
      <c r="O37" s="349"/>
      <c r="P37" s="349"/>
      <c r="Q37" s="349"/>
      <c r="R37" s="349"/>
    </row>
    <row r="38" spans="1:18" ht="13.5" customHeight="1">
      <c r="A38" s="368"/>
      <c r="B38" s="349"/>
      <c r="C38" s="349"/>
      <c r="D38" s="349"/>
      <c r="E38" s="349"/>
      <c r="F38" s="349"/>
      <c r="G38" s="349"/>
      <c r="H38" s="349"/>
      <c r="I38" s="369"/>
      <c r="J38" s="1"/>
      <c r="K38" s="25"/>
      <c r="L38" s="25"/>
      <c r="M38" s="25"/>
      <c r="N38" s="25"/>
      <c r="O38" s="25"/>
      <c r="P38" s="25"/>
      <c r="Q38" s="25"/>
      <c r="R38" s="25"/>
    </row>
    <row r="39" spans="1:18" ht="21.75" customHeight="1">
      <c r="A39" s="368"/>
      <c r="B39" s="349"/>
      <c r="C39" s="349"/>
      <c r="D39" s="349"/>
      <c r="E39" s="349"/>
      <c r="F39" s="349"/>
      <c r="G39" s="349"/>
      <c r="H39" s="349"/>
      <c r="I39" s="369"/>
      <c r="J39" s="1"/>
      <c r="K39" s="25"/>
      <c r="L39" s="25"/>
      <c r="M39" s="25"/>
      <c r="N39" s="25"/>
      <c r="O39" s="25"/>
      <c r="P39" s="25"/>
      <c r="Q39" s="25"/>
      <c r="R39" s="25"/>
    </row>
    <row r="40" spans="1:18" ht="13.5" customHeight="1">
      <c r="A40" s="380" t="s">
        <v>82</v>
      </c>
      <c r="B40" s="370"/>
      <c r="C40" s="370"/>
      <c r="D40" s="370"/>
      <c r="E40" s="370"/>
      <c r="F40" s="370"/>
      <c r="G40" s="370"/>
      <c r="H40" s="370"/>
      <c r="I40" s="369"/>
      <c r="J40" s="1"/>
      <c r="K40" s="25"/>
      <c r="L40" s="25"/>
      <c r="M40" s="25"/>
      <c r="N40" s="25"/>
      <c r="O40" s="25"/>
      <c r="P40" s="25"/>
      <c r="Q40" s="25"/>
      <c r="R40" s="25"/>
    </row>
    <row r="41" spans="1:18" ht="13.5" customHeight="1">
      <c r="A41" s="368"/>
      <c r="B41" s="370"/>
      <c r="C41" s="370"/>
      <c r="D41" s="370"/>
      <c r="E41" s="370"/>
      <c r="F41" s="370"/>
      <c r="G41" s="370"/>
      <c r="H41" s="370"/>
      <c r="I41" s="369"/>
      <c r="J41" s="1"/>
      <c r="K41" s="25"/>
      <c r="L41" s="25"/>
      <c r="M41" s="25"/>
      <c r="N41" s="25"/>
      <c r="O41" s="25"/>
      <c r="P41" s="25"/>
      <c r="Q41" s="25"/>
      <c r="R41" s="25"/>
    </row>
    <row r="42" spans="1:18" ht="13.5" customHeight="1">
      <c r="A42" s="381"/>
      <c r="B42" s="349"/>
      <c r="C42" s="349"/>
      <c r="D42" s="349"/>
      <c r="E42" s="349"/>
      <c r="F42" s="349"/>
      <c r="G42" s="349"/>
      <c r="H42" s="349"/>
      <c r="I42" s="369"/>
      <c r="J42" s="1"/>
      <c r="K42" s="25"/>
      <c r="L42" s="25"/>
      <c r="M42" s="25"/>
      <c r="N42" s="25"/>
      <c r="O42" s="25"/>
      <c r="P42" s="25"/>
      <c r="Q42" s="25"/>
      <c r="R42" s="25"/>
    </row>
    <row r="43" spans="1:18" ht="13.5" customHeight="1">
      <c r="A43" s="368"/>
      <c r="B43" s="349"/>
      <c r="C43" s="349"/>
      <c r="D43" s="349"/>
      <c r="E43" s="349"/>
      <c r="F43" s="349"/>
      <c r="G43" s="349"/>
      <c r="H43" s="349"/>
      <c r="I43" s="369"/>
      <c r="J43" s="1"/>
      <c r="K43" s="25"/>
      <c r="L43" s="25"/>
      <c r="M43" s="25"/>
      <c r="N43" s="25"/>
      <c r="O43" s="25"/>
      <c r="P43" s="25"/>
      <c r="Q43" s="25"/>
      <c r="R43" s="25"/>
    </row>
    <row r="44" spans="1:18" ht="13.5" customHeight="1">
      <c r="A44" s="368"/>
      <c r="B44" s="349"/>
      <c r="C44" s="349"/>
      <c r="D44" s="349"/>
      <c r="E44" s="349"/>
      <c r="F44" s="349"/>
      <c r="G44" s="349"/>
      <c r="H44" s="349"/>
      <c r="I44" s="369"/>
      <c r="J44" s="1"/>
      <c r="K44" s="378" t="s">
        <v>83</v>
      </c>
      <c r="L44" s="349"/>
      <c r="M44" s="349"/>
      <c r="N44" s="349"/>
      <c r="O44" s="349"/>
      <c r="P44" s="349"/>
      <c r="Q44" s="349"/>
      <c r="R44" s="349"/>
    </row>
    <row r="45" spans="1:18" ht="13.5" customHeight="1">
      <c r="A45" s="368"/>
      <c r="B45" s="349"/>
      <c r="C45" s="349"/>
      <c r="D45" s="349"/>
      <c r="E45" s="349"/>
      <c r="F45" s="349"/>
      <c r="G45" s="349"/>
      <c r="H45" s="349"/>
      <c r="I45" s="369"/>
      <c r="J45" s="1"/>
      <c r="K45" s="368"/>
      <c r="L45" s="349"/>
      <c r="M45" s="349"/>
      <c r="N45" s="349"/>
      <c r="O45" s="349"/>
      <c r="P45" s="349"/>
      <c r="Q45" s="349"/>
      <c r="R45" s="349"/>
    </row>
    <row r="46" spans="1:18" ht="13.5" customHeight="1">
      <c r="A46" s="368"/>
      <c r="B46" s="349"/>
      <c r="C46" s="349"/>
      <c r="D46" s="349"/>
      <c r="E46" s="349"/>
      <c r="F46" s="349"/>
      <c r="G46" s="349"/>
      <c r="H46" s="349"/>
      <c r="I46" s="369"/>
      <c r="J46" s="1"/>
      <c r="K46" s="368"/>
      <c r="L46" s="349"/>
      <c r="M46" s="349"/>
      <c r="N46" s="349"/>
      <c r="O46" s="349"/>
      <c r="P46" s="349"/>
      <c r="Q46" s="349"/>
      <c r="R46" s="349"/>
    </row>
    <row r="47" spans="1:18" ht="13.5" customHeight="1">
      <c r="A47" s="368"/>
      <c r="B47" s="349"/>
      <c r="C47" s="349"/>
      <c r="D47" s="349"/>
      <c r="E47" s="349"/>
      <c r="F47" s="349"/>
      <c r="G47" s="349"/>
      <c r="H47" s="349"/>
      <c r="I47" s="369"/>
      <c r="J47" s="1"/>
      <c r="K47" s="368"/>
      <c r="L47" s="349"/>
      <c r="M47" s="349"/>
      <c r="N47" s="349"/>
      <c r="O47" s="349"/>
      <c r="P47" s="349"/>
      <c r="Q47" s="349"/>
      <c r="R47" s="349"/>
    </row>
    <row r="48" spans="1:18" ht="13.5" customHeight="1">
      <c r="A48" s="368"/>
      <c r="B48" s="349"/>
      <c r="C48" s="349"/>
      <c r="D48" s="349"/>
      <c r="E48" s="349"/>
      <c r="F48" s="349"/>
      <c r="G48" s="349"/>
      <c r="H48" s="349"/>
      <c r="I48" s="369"/>
      <c r="J48" s="1"/>
      <c r="K48" s="1"/>
      <c r="L48" s="1"/>
      <c r="M48" s="1"/>
      <c r="N48" s="1"/>
      <c r="O48" s="1"/>
      <c r="P48" s="1"/>
      <c r="Q48" s="1"/>
      <c r="R48" s="1"/>
    </row>
    <row r="49" spans="1:18" ht="13.5" customHeight="1">
      <c r="A49" s="382"/>
      <c r="B49" s="383"/>
      <c r="C49" s="383"/>
      <c r="D49" s="383"/>
      <c r="E49" s="383"/>
      <c r="F49" s="383"/>
      <c r="G49" s="383"/>
      <c r="H49" s="383"/>
      <c r="I49" s="384"/>
      <c r="J49" s="1"/>
      <c r="K49" s="1"/>
      <c r="L49" s="1"/>
      <c r="M49" s="1"/>
      <c r="N49" s="1"/>
      <c r="O49" s="1"/>
      <c r="P49" s="1"/>
      <c r="Q49" s="1"/>
      <c r="R49" s="1"/>
    </row>
    <row r="50" spans="1:18" ht="13.5" customHeight="1">
      <c r="A50" s="1"/>
      <c r="B50" s="1"/>
      <c r="C50" s="1"/>
      <c r="D50" s="1"/>
      <c r="E50" s="1"/>
      <c r="F50" s="1"/>
      <c r="G50" s="1"/>
      <c r="H50" s="1"/>
      <c r="I50" s="1"/>
      <c r="J50" s="1"/>
      <c r="K50" s="1"/>
      <c r="L50" s="1"/>
      <c r="M50" s="1"/>
      <c r="N50" s="1"/>
      <c r="O50" s="1"/>
      <c r="P50" s="1"/>
      <c r="Q50" s="1"/>
      <c r="R50" s="1"/>
    </row>
    <row r="51" spans="1:18" ht="13.5" customHeight="1">
      <c r="A51" s="1"/>
      <c r="B51" s="1"/>
      <c r="C51" s="1"/>
      <c r="D51" s="1"/>
      <c r="E51" s="1"/>
      <c r="F51" s="1"/>
      <c r="G51" s="1"/>
      <c r="H51" s="1"/>
      <c r="I51" s="1"/>
      <c r="J51" s="1"/>
      <c r="K51" s="1"/>
      <c r="L51" s="1"/>
      <c r="M51" s="1"/>
      <c r="N51" s="1"/>
      <c r="O51" s="1"/>
      <c r="P51" s="1"/>
      <c r="Q51" s="1"/>
      <c r="R51" s="1"/>
    </row>
  </sheetData>
  <mergeCells count="20">
    <mergeCell ref="A32:I39"/>
    <mergeCell ref="A40:I41"/>
    <mergeCell ref="A42:I49"/>
    <mergeCell ref="K44:R47"/>
    <mergeCell ref="C16:I16"/>
    <mergeCell ref="C17:I17"/>
    <mergeCell ref="A20:I21"/>
    <mergeCell ref="A22:I29"/>
    <mergeCell ref="K24:R27"/>
    <mergeCell ref="A30:I31"/>
    <mergeCell ref="K34:R37"/>
    <mergeCell ref="C12:I14"/>
    <mergeCell ref="C15:I15"/>
    <mergeCell ref="A1:I3"/>
    <mergeCell ref="K2:N3"/>
    <mergeCell ref="K5:R8"/>
    <mergeCell ref="E6:F6"/>
    <mergeCell ref="A10:I11"/>
    <mergeCell ref="A12:B14"/>
    <mergeCell ref="K14:R17"/>
  </mergeCells>
  <pageMargins left="0.7" right="0.7" top="0.75" bottom="0.75"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2"/>
  <sheetViews>
    <sheetView showGridLines="0" workbookViewId="0"/>
  </sheetViews>
  <sheetFormatPr defaultColWidth="14.42578125" defaultRowHeight="15" customHeight="1" outlineLevelRow="1"/>
  <cols>
    <col min="1" max="1" width="41.85546875" customWidth="1"/>
    <col min="2" max="2" width="16.7109375" customWidth="1"/>
    <col min="3" max="3" width="12.140625" customWidth="1"/>
    <col min="4" max="4" width="10.85546875" customWidth="1"/>
    <col min="5" max="5" width="56.42578125" customWidth="1"/>
    <col min="6" max="6" width="15.85546875" customWidth="1"/>
    <col min="7" max="7" width="10.85546875" customWidth="1"/>
    <col min="8" max="8" width="16.42578125" customWidth="1"/>
    <col min="9" max="9" width="48.28515625" customWidth="1"/>
    <col min="10" max="10" width="10.85546875" customWidth="1"/>
    <col min="11" max="12" width="10.7109375" customWidth="1"/>
  </cols>
  <sheetData>
    <row r="1" spans="1:12" ht="15" customHeight="1">
      <c r="A1" s="311" t="s">
        <v>84</v>
      </c>
      <c r="B1" s="366"/>
      <c r="C1" s="366"/>
      <c r="D1" s="366"/>
      <c r="E1" s="366"/>
      <c r="F1" s="367"/>
      <c r="G1" s="28"/>
      <c r="H1" s="29"/>
      <c r="I1" s="28"/>
      <c r="J1" s="1"/>
      <c r="K1" s="1"/>
      <c r="L1" s="1"/>
    </row>
    <row r="2" spans="1:12" ht="15" customHeight="1">
      <c r="A2" s="368"/>
      <c r="B2" s="349"/>
      <c r="C2" s="349"/>
      <c r="D2" s="349"/>
      <c r="E2" s="349"/>
      <c r="F2" s="369"/>
      <c r="G2" s="28"/>
      <c r="H2" s="308" t="s">
        <v>72</v>
      </c>
      <c r="I2" s="349"/>
      <c r="J2" s="349"/>
      <c r="K2" s="1"/>
      <c r="L2" s="1"/>
    </row>
    <row r="3" spans="1:12" ht="15" customHeight="1">
      <c r="A3" s="368"/>
      <c r="B3" s="370"/>
      <c r="C3" s="370"/>
      <c r="D3" s="370"/>
      <c r="E3" s="370"/>
      <c r="F3" s="369"/>
      <c r="G3" s="28"/>
      <c r="H3" s="349"/>
      <c r="I3" s="349"/>
      <c r="J3" s="349"/>
      <c r="K3" s="1"/>
      <c r="L3" s="1"/>
    </row>
    <row r="4" spans="1:12" ht="13.5" customHeight="1">
      <c r="A4" s="371"/>
      <c r="B4" s="1"/>
      <c r="C4" s="1"/>
      <c r="D4" s="1"/>
      <c r="F4" s="385"/>
      <c r="G4" s="1"/>
      <c r="J4" s="1"/>
      <c r="K4" s="1"/>
      <c r="L4" s="1"/>
    </row>
    <row r="5" spans="1:12" ht="13.5" customHeight="1">
      <c r="A5" s="386"/>
      <c r="B5" s="30"/>
      <c r="C5" s="30"/>
      <c r="D5" s="1"/>
      <c r="F5" s="385"/>
      <c r="G5" s="1"/>
      <c r="J5" s="1"/>
      <c r="K5" s="1"/>
      <c r="L5" s="1"/>
    </row>
    <row r="6" spans="1:12" ht="13.5" customHeight="1">
      <c r="A6" s="386"/>
      <c r="B6" s="30"/>
      <c r="C6" s="30"/>
      <c r="D6" s="1"/>
      <c r="F6" s="385"/>
      <c r="G6" s="1"/>
      <c r="I6" s="1"/>
      <c r="J6" s="1"/>
      <c r="K6" s="1"/>
      <c r="L6" s="1"/>
    </row>
    <row r="7" spans="1:12" ht="13.5" customHeight="1">
      <c r="A7" s="312" t="s">
        <v>85</v>
      </c>
      <c r="B7" s="366"/>
      <c r="C7" s="367"/>
      <c r="D7" s="1"/>
      <c r="E7" s="313" t="s">
        <v>86</v>
      </c>
      <c r="F7" s="367"/>
      <c r="G7" s="1"/>
      <c r="H7" s="32"/>
      <c r="I7" s="1"/>
      <c r="J7" s="1"/>
      <c r="K7" s="1"/>
      <c r="L7" s="1"/>
    </row>
    <row r="8" spans="1:12" ht="13.5" customHeight="1">
      <c r="A8" s="387"/>
      <c r="B8" s="33" t="s">
        <v>87</v>
      </c>
      <c r="C8" s="388" t="s">
        <v>88</v>
      </c>
      <c r="D8" s="1"/>
      <c r="E8" s="368"/>
      <c r="F8" s="369"/>
      <c r="G8" s="1"/>
      <c r="J8" s="1"/>
      <c r="K8" s="1"/>
      <c r="L8" s="1"/>
    </row>
    <row r="9" spans="1:12" ht="13.5" customHeight="1">
      <c r="A9" s="389" t="s">
        <v>89</v>
      </c>
      <c r="B9" s="390" t="s">
        <v>90</v>
      </c>
      <c r="C9" s="388" t="s">
        <v>91</v>
      </c>
      <c r="D9" s="1"/>
      <c r="E9" s="368"/>
      <c r="F9" s="369"/>
      <c r="G9" s="1"/>
      <c r="J9" s="1"/>
      <c r="K9" s="1"/>
      <c r="L9" s="1"/>
    </row>
    <row r="10" spans="1:12" ht="13.5" customHeight="1">
      <c r="A10" s="389" t="s">
        <v>92</v>
      </c>
      <c r="B10" s="391">
        <v>2000</v>
      </c>
      <c r="C10" s="388" t="s">
        <v>93</v>
      </c>
      <c r="D10" s="1"/>
      <c r="E10" s="368"/>
      <c r="F10" s="369"/>
      <c r="G10" s="1"/>
      <c r="J10" s="1"/>
      <c r="K10" s="1"/>
      <c r="L10" s="1"/>
    </row>
    <row r="11" spans="1:12" ht="13.5" customHeight="1">
      <c r="A11" s="389" t="s">
        <v>94</v>
      </c>
      <c r="B11" s="77">
        <v>0.9</v>
      </c>
      <c r="C11" s="388" t="s">
        <v>95</v>
      </c>
      <c r="D11" s="1"/>
      <c r="E11" s="368"/>
      <c r="F11" s="369"/>
      <c r="G11" s="1"/>
      <c r="H11" s="32"/>
      <c r="I11" s="1"/>
      <c r="J11" s="1"/>
      <c r="K11" s="1"/>
      <c r="L11" s="1"/>
    </row>
    <row r="12" spans="1:12" ht="13.5" customHeight="1">
      <c r="A12" s="389" t="s">
        <v>96</v>
      </c>
      <c r="B12" s="392" t="s">
        <v>97</v>
      </c>
      <c r="C12" s="388"/>
      <c r="D12" s="1"/>
      <c r="E12" s="382"/>
      <c r="F12" s="384"/>
      <c r="G12" s="1"/>
      <c r="H12" s="32"/>
      <c r="I12" s="1"/>
      <c r="J12" s="1"/>
      <c r="K12" s="1"/>
      <c r="L12" s="1"/>
    </row>
    <row r="13" spans="1:12" ht="13.5" customHeight="1">
      <c r="A13" s="389" t="s">
        <v>98</v>
      </c>
      <c r="B13" s="393" t="s">
        <v>99</v>
      </c>
      <c r="C13" s="372"/>
      <c r="D13" s="1"/>
      <c r="E13" s="34" t="s">
        <v>100</v>
      </c>
      <c r="F13" s="35">
        <v>1</v>
      </c>
      <c r="G13" s="1"/>
      <c r="H13" s="32"/>
      <c r="I13" s="1"/>
      <c r="J13" s="1"/>
      <c r="K13" s="1"/>
      <c r="L13" s="1"/>
    </row>
    <row r="14" spans="1:12" ht="13.5" customHeight="1">
      <c r="A14" s="389" t="s">
        <v>101</v>
      </c>
      <c r="B14" s="393" t="s">
        <v>102</v>
      </c>
      <c r="C14" s="372"/>
      <c r="D14" s="1"/>
      <c r="E14" s="36" t="s">
        <v>103</v>
      </c>
      <c r="F14" s="394" t="s">
        <v>104</v>
      </c>
      <c r="G14" s="1"/>
      <c r="H14" s="32"/>
      <c r="I14" s="1"/>
      <c r="J14" s="1"/>
      <c r="K14" s="1"/>
      <c r="L14" s="1"/>
    </row>
    <row r="15" spans="1:12" ht="13.5" customHeight="1">
      <c r="A15" s="37" t="s">
        <v>105</v>
      </c>
      <c r="B15" s="38">
        <v>15</v>
      </c>
      <c r="C15" s="39" t="s">
        <v>106</v>
      </c>
      <c r="D15" s="1"/>
      <c r="E15" s="40" t="s">
        <v>107</v>
      </c>
      <c r="F15" s="41" t="e">
        <f ca="1">_xludf.ifs(F14="Dollars",F13*Databases!M4,F14="Pounds",Databases!M5*F13)</f>
        <v>#NAME?</v>
      </c>
      <c r="G15" s="1"/>
      <c r="H15" s="32"/>
      <c r="I15" s="1"/>
      <c r="J15" s="1"/>
      <c r="K15" s="1"/>
      <c r="L15" s="1"/>
    </row>
    <row r="16" spans="1:12" ht="13.5" customHeight="1">
      <c r="A16" s="371"/>
      <c r="B16" s="1"/>
      <c r="C16" s="1"/>
      <c r="D16" s="1"/>
      <c r="E16" s="1"/>
      <c r="F16" s="372"/>
      <c r="G16" s="1"/>
      <c r="H16" s="32"/>
      <c r="I16" s="1"/>
      <c r="J16" s="1"/>
      <c r="K16" s="1"/>
      <c r="L16" s="1"/>
    </row>
    <row r="17" spans="1:12" ht="15" customHeight="1">
      <c r="A17" s="377" t="s">
        <v>108</v>
      </c>
      <c r="B17" s="370"/>
      <c r="C17" s="370"/>
      <c r="D17" s="370"/>
      <c r="E17" s="370"/>
      <c r="F17" s="369"/>
      <c r="G17" s="1"/>
      <c r="H17" s="395" t="s">
        <v>109</v>
      </c>
      <c r="I17" s="42" t="s">
        <v>110</v>
      </c>
      <c r="J17" s="42" t="s">
        <v>111</v>
      </c>
      <c r="K17" s="1"/>
      <c r="L17" s="1"/>
    </row>
    <row r="18" spans="1:12" ht="15" customHeight="1">
      <c r="A18" s="368"/>
      <c r="B18" s="370"/>
      <c r="C18" s="370"/>
      <c r="D18" s="370"/>
      <c r="E18" s="370"/>
      <c r="F18" s="369"/>
      <c r="G18" s="1"/>
      <c r="H18" s="396" t="s">
        <v>112</v>
      </c>
      <c r="I18" s="1"/>
      <c r="J18" s="1"/>
      <c r="K18" s="1"/>
      <c r="L18" s="1"/>
    </row>
    <row r="19" spans="1:12" ht="15.75" hidden="1" customHeight="1" outlineLevel="1">
      <c r="A19" s="397" t="s">
        <v>113</v>
      </c>
      <c r="B19" s="310" t="s">
        <v>114</v>
      </c>
      <c r="C19" s="310" t="s">
        <v>115</v>
      </c>
      <c r="D19" s="310" t="s">
        <v>116</v>
      </c>
      <c r="E19" s="310" t="s">
        <v>117</v>
      </c>
      <c r="F19" s="398" t="s">
        <v>118</v>
      </c>
      <c r="G19" s="1"/>
      <c r="H19" s="43"/>
      <c r="I19" s="43"/>
      <c r="J19" s="1"/>
      <c r="K19" s="1"/>
      <c r="L19" s="1"/>
    </row>
    <row r="20" spans="1:12" ht="42" hidden="1" customHeight="1" outlineLevel="1">
      <c r="A20" s="368"/>
      <c r="B20" s="349"/>
      <c r="C20" s="349"/>
      <c r="D20" s="349"/>
      <c r="E20" s="349"/>
      <c r="F20" s="369"/>
      <c r="G20" s="1"/>
      <c r="H20" s="43"/>
      <c r="I20" s="43"/>
      <c r="J20" s="1"/>
      <c r="K20" s="1"/>
      <c r="L20" s="1"/>
    </row>
    <row r="21" spans="1:12" ht="15.75" customHeight="1" collapsed="1">
      <c r="A21" s="371"/>
      <c r="B21" s="1"/>
      <c r="C21" s="1"/>
      <c r="D21" s="1"/>
      <c r="E21" s="1"/>
      <c r="F21" s="372"/>
      <c r="G21" s="1"/>
      <c r="H21" s="43"/>
      <c r="I21" s="43"/>
      <c r="J21" s="1"/>
      <c r="K21" s="1"/>
      <c r="L21" s="1"/>
    </row>
    <row r="22" spans="1:12" ht="13.5" customHeight="1">
      <c r="A22" s="312" t="s">
        <v>119</v>
      </c>
      <c r="B22" s="366"/>
      <c r="C22" s="366"/>
      <c r="D22" s="314"/>
      <c r="E22" s="366"/>
      <c r="F22" s="45"/>
      <c r="G22" s="1"/>
      <c r="H22" s="32"/>
      <c r="I22" s="1"/>
      <c r="J22" s="1"/>
      <c r="K22" s="1"/>
      <c r="L22" s="1"/>
    </row>
    <row r="23" spans="1:12" ht="13.5" customHeight="1">
      <c r="A23" s="46" t="s">
        <v>120</v>
      </c>
      <c r="B23" s="47" t="s">
        <v>121</v>
      </c>
      <c r="C23" s="399" t="s">
        <v>88</v>
      </c>
      <c r="D23" s="48" t="s">
        <v>122</v>
      </c>
      <c r="E23" s="400" t="s">
        <v>123</v>
      </c>
      <c r="F23" s="49" t="s">
        <v>111</v>
      </c>
      <c r="G23" s="1"/>
      <c r="H23" s="50"/>
      <c r="I23" s="11"/>
      <c r="J23" s="1"/>
      <c r="K23" s="1"/>
      <c r="L23" s="1"/>
    </row>
    <row r="24" spans="1:12" ht="13.5" customHeight="1">
      <c r="A24" s="389" t="s">
        <v>124</v>
      </c>
      <c r="B24" s="391">
        <v>5</v>
      </c>
      <c r="C24" s="11" t="s">
        <v>125</v>
      </c>
      <c r="D24" s="401">
        <v>5</v>
      </c>
      <c r="E24" s="51"/>
      <c r="F24" s="402"/>
      <c r="G24" s="1"/>
      <c r="H24" s="403" t="s">
        <v>126</v>
      </c>
      <c r="I24" s="349"/>
      <c r="J24" s="349"/>
      <c r="K24" s="349"/>
    </row>
    <row r="25" spans="1:12" ht="13.5" customHeight="1">
      <c r="A25" s="389" t="s">
        <v>127</v>
      </c>
      <c r="B25" s="391">
        <v>1</v>
      </c>
      <c r="C25" s="11" t="s">
        <v>125</v>
      </c>
      <c r="D25" s="401">
        <v>5</v>
      </c>
      <c r="E25" s="51"/>
      <c r="F25" s="402"/>
      <c r="G25" s="1"/>
      <c r="H25" s="368"/>
      <c r="I25" s="349"/>
      <c r="J25" s="349"/>
      <c r="K25" s="349"/>
    </row>
    <row r="26" spans="1:12" ht="13.5" customHeight="1">
      <c r="A26" s="389" t="s">
        <v>128</v>
      </c>
      <c r="B26" s="391">
        <v>2</v>
      </c>
      <c r="C26" s="11" t="s">
        <v>125</v>
      </c>
      <c r="D26" s="401">
        <v>5</v>
      </c>
      <c r="E26" s="51"/>
      <c r="F26" s="402"/>
      <c r="G26" s="1"/>
      <c r="H26" s="50"/>
      <c r="I26" s="52"/>
      <c r="J26" s="1"/>
      <c r="K26" s="1"/>
      <c r="L26" s="1"/>
    </row>
    <row r="27" spans="1:12" ht="13.5" hidden="1" customHeight="1" outlineLevel="1">
      <c r="A27" s="389" t="s">
        <v>129</v>
      </c>
      <c r="B27" s="391">
        <v>2</v>
      </c>
      <c r="C27" s="11" t="s">
        <v>125</v>
      </c>
      <c r="D27" s="401">
        <v>5</v>
      </c>
      <c r="E27" s="51"/>
      <c r="F27" s="402"/>
      <c r="G27" s="1"/>
      <c r="H27" s="50"/>
      <c r="I27" s="11"/>
      <c r="J27" s="1"/>
      <c r="K27" s="1"/>
      <c r="L27" s="1"/>
    </row>
    <row r="28" spans="1:12" ht="13.5" hidden="1" customHeight="1" outlineLevel="1">
      <c r="A28" s="389" t="s">
        <v>130</v>
      </c>
      <c r="B28" s="391">
        <v>2</v>
      </c>
      <c r="C28" s="11" t="s">
        <v>125</v>
      </c>
      <c r="D28" s="401">
        <v>5</v>
      </c>
      <c r="E28" s="51"/>
      <c r="F28" s="402"/>
      <c r="G28" s="1"/>
      <c r="H28" s="50"/>
      <c r="I28" s="11"/>
      <c r="J28" s="1"/>
      <c r="K28" s="1"/>
      <c r="L28" s="1"/>
    </row>
    <row r="29" spans="1:12" ht="13.5" hidden="1" customHeight="1" outlineLevel="1">
      <c r="A29" s="37" t="s">
        <v>131</v>
      </c>
      <c r="B29" s="38">
        <v>2</v>
      </c>
      <c r="C29" s="404" t="s">
        <v>125</v>
      </c>
      <c r="D29" s="53">
        <v>5</v>
      </c>
      <c r="E29" s="405"/>
      <c r="F29" s="54"/>
      <c r="G29" s="1"/>
      <c r="H29" s="50"/>
      <c r="I29" s="11"/>
      <c r="J29" s="1"/>
      <c r="K29" s="1"/>
      <c r="L29" s="1"/>
    </row>
    <row r="30" spans="1:12" ht="13.5" customHeight="1" collapsed="1">
      <c r="A30" s="55"/>
      <c r="B30" s="56"/>
      <c r="C30" s="56"/>
      <c r="D30" s="56"/>
      <c r="E30" s="56"/>
      <c r="F30" s="57"/>
      <c r="G30" s="1"/>
      <c r="H30" s="50"/>
      <c r="I30" s="11"/>
      <c r="J30" s="1"/>
      <c r="K30" s="1"/>
      <c r="L30" s="1"/>
    </row>
    <row r="31" spans="1:12" ht="13.5" customHeight="1">
      <c r="A31" s="312" t="s">
        <v>132</v>
      </c>
      <c r="B31" s="366"/>
      <c r="C31" s="366"/>
      <c r="D31" s="314"/>
      <c r="E31" s="366"/>
      <c r="F31" s="45"/>
      <c r="G31" s="1"/>
      <c r="H31" s="50"/>
      <c r="I31" s="11"/>
      <c r="J31" s="1"/>
      <c r="K31" s="1"/>
      <c r="L31" s="1"/>
    </row>
    <row r="32" spans="1:12" ht="13.5" customHeight="1">
      <c r="A32" s="46" t="s">
        <v>120</v>
      </c>
      <c r="B32" s="47" t="s">
        <v>121</v>
      </c>
      <c r="C32" s="399" t="s">
        <v>88</v>
      </c>
      <c r="D32" s="48" t="s">
        <v>122</v>
      </c>
      <c r="E32" s="400" t="s">
        <v>123</v>
      </c>
      <c r="F32" s="49" t="s">
        <v>111</v>
      </c>
      <c r="G32" s="1"/>
      <c r="H32" s="58" t="s">
        <v>133</v>
      </c>
      <c r="I32" s="59" t="s">
        <v>134</v>
      </c>
      <c r="J32" s="60" t="s">
        <v>111</v>
      </c>
      <c r="K32" s="1"/>
      <c r="L32" s="1"/>
    </row>
    <row r="33" spans="1:12" ht="13.5" customHeight="1">
      <c r="A33" s="389" t="s">
        <v>135</v>
      </c>
      <c r="B33" s="406">
        <v>200</v>
      </c>
      <c r="C33" s="11" t="s">
        <v>136</v>
      </c>
      <c r="D33" s="401">
        <v>0.10199999999999999</v>
      </c>
      <c r="E33" s="51"/>
      <c r="F33" s="402"/>
      <c r="G33" s="50"/>
      <c r="H33" s="407" t="e">
        <f ca="1">IF(H32="Live electricity prices",(_xludf.ifs(B12="Germany",Databases!I11,B12="Spain",Databases!I15,B12="Portugal",Databases!I31,B12="France",Databases!I17,B12="Italy",Databases!I21,B12="Netherlands",Databases!I24,B12="Norway",Databases!I25,B12="Finland",Databases!I16,B12="Hungary",Databases!I20,B12="Belgium",Databases!I7,B12="Denmark",Databases!I12,B12="Poland",Databases!I30,B12="Greece",Databases!I18,B12="Croatia",Databases!I19,B12="Lithuania",Databases!I22,B12="Estonia",Databases!I14,B12="Switzerland",Databases!I9,B12="Austria",Databases!I6)),(_xludf.ifs(B12="Germany",Databases!J11,B12="Spain",Databases!J15,B12="Portugal",Databases!J31,B12="France",Databases!J17,B12="Italy",Databases!J21,B12="Netherlands",Databases!J24,B12="Norway",Databases!J25,B12="Finland",Databases!J16,B12="Hungary",Databases!J20,B12="Belgium",Databases!J7,B12="Denmark",Databases!J12,B12="Poland",Databases!J30,B12="Greece",Databases!J18,B12="Croatia",Databases!J19,B12="Lithuania",Databases!J22,B12="Estonia",Databases!I14,B12="Switzerland",Databases!I9,B12="Austria",Databases!I6)))</f>
        <v>#NAME?</v>
      </c>
      <c r="I33" s="59" t="s">
        <v>137</v>
      </c>
      <c r="J33" s="1"/>
      <c r="K33" s="1"/>
      <c r="L33" s="1"/>
    </row>
    <row r="34" spans="1:12" ht="13.5" customHeight="1">
      <c r="A34" s="389" t="s">
        <v>138</v>
      </c>
      <c r="B34" s="391">
        <v>10</v>
      </c>
      <c r="C34" s="11" t="s">
        <v>139</v>
      </c>
      <c r="D34" s="401">
        <v>1.07</v>
      </c>
      <c r="E34" s="51"/>
      <c r="F34" s="402"/>
      <c r="G34" s="50"/>
      <c r="H34" s="408">
        <f ca="1">((Databases!B6+Databases!C6)/2)*Databases!M4</f>
        <v>1.085775079999999</v>
      </c>
      <c r="I34" s="59" t="s">
        <v>140</v>
      </c>
      <c r="J34" s="1"/>
      <c r="K34" s="1"/>
      <c r="L34" s="1"/>
    </row>
    <row r="35" spans="1:12" ht="13.5" customHeight="1">
      <c r="A35" s="37" t="s">
        <v>141</v>
      </c>
      <c r="B35" s="38">
        <v>1</v>
      </c>
      <c r="C35" s="404" t="s">
        <v>142</v>
      </c>
      <c r="D35" s="53">
        <v>0.85</v>
      </c>
      <c r="E35" s="405"/>
      <c r="F35" s="54"/>
      <c r="G35" s="50"/>
      <c r="H35" s="408">
        <f>Databases!B7</f>
        <v>0.85665999999999998</v>
      </c>
      <c r="I35" s="59" t="s">
        <v>143</v>
      </c>
      <c r="J35" s="1"/>
      <c r="K35" s="1"/>
      <c r="L35" s="1"/>
    </row>
    <row r="36" spans="1:12" ht="13.5" customHeight="1">
      <c r="A36" s="371"/>
      <c r="B36" s="1"/>
      <c r="C36" s="1"/>
      <c r="D36" s="1"/>
      <c r="E36" s="1"/>
      <c r="F36" s="372"/>
      <c r="G36" s="1"/>
      <c r="H36" s="61"/>
      <c r="I36" s="11"/>
      <c r="J36" s="1"/>
      <c r="K36" s="1"/>
      <c r="L36" s="1"/>
    </row>
    <row r="37" spans="1:12" ht="13.5" customHeight="1">
      <c r="A37" s="312" t="s">
        <v>144</v>
      </c>
      <c r="B37" s="366"/>
      <c r="C37" s="366"/>
      <c r="D37" s="314"/>
      <c r="E37" s="366"/>
      <c r="F37" s="45"/>
      <c r="G37" s="1"/>
      <c r="H37" s="61"/>
      <c r="I37" s="11"/>
      <c r="J37" s="1"/>
      <c r="K37" s="1"/>
      <c r="L37" s="1"/>
    </row>
    <row r="38" spans="1:12" ht="13.5" customHeight="1">
      <c r="A38" s="46" t="s">
        <v>120</v>
      </c>
      <c r="B38" s="47" t="s">
        <v>121</v>
      </c>
      <c r="C38" s="399" t="s">
        <v>88</v>
      </c>
      <c r="D38" s="48" t="s">
        <v>122</v>
      </c>
      <c r="E38" s="400" t="s">
        <v>123</v>
      </c>
      <c r="F38" s="49" t="s">
        <v>111</v>
      </c>
      <c r="H38" s="61"/>
      <c r="I38" s="11"/>
      <c r="J38" s="1"/>
      <c r="K38" s="1"/>
      <c r="L38" s="1"/>
    </row>
    <row r="39" spans="1:12" ht="13.5" customHeight="1">
      <c r="A39" s="389" t="s">
        <v>145</v>
      </c>
      <c r="B39" s="391">
        <v>100</v>
      </c>
      <c r="C39" s="11" t="s">
        <v>146</v>
      </c>
      <c r="D39" s="401">
        <v>1.2899999999999999E-4</v>
      </c>
      <c r="E39" s="51"/>
      <c r="F39" s="402"/>
      <c r="G39" s="50"/>
      <c r="H39" s="407">
        <f ca="1">((Databases!B4+Databases!C4)/2)*Databases!M4/1000</f>
        <v>1.3091237999999987E-3</v>
      </c>
      <c r="I39" s="11" t="s">
        <v>147</v>
      </c>
      <c r="J39" s="1"/>
      <c r="K39" s="1"/>
      <c r="L39" s="1"/>
    </row>
    <row r="40" spans="1:12" ht="13.5" customHeight="1">
      <c r="A40" s="389" t="s">
        <v>148</v>
      </c>
      <c r="B40" s="391">
        <v>4</v>
      </c>
      <c r="C40" s="11" t="s">
        <v>125</v>
      </c>
      <c r="D40" s="401">
        <v>3</v>
      </c>
      <c r="E40" s="51"/>
      <c r="F40" s="402"/>
      <c r="G40" s="1"/>
      <c r="H40" s="50"/>
      <c r="I40" s="11"/>
      <c r="J40" s="1"/>
      <c r="K40" s="1"/>
      <c r="L40" s="1"/>
    </row>
    <row r="41" spans="1:12" ht="13.5" customHeight="1">
      <c r="A41" s="389" t="s">
        <v>149</v>
      </c>
      <c r="B41" s="391"/>
      <c r="C41" s="11"/>
      <c r="D41" s="401"/>
      <c r="E41" s="51"/>
      <c r="F41" s="402"/>
      <c r="G41" s="1"/>
      <c r="H41" s="50"/>
      <c r="I41" s="11"/>
      <c r="J41" s="1"/>
      <c r="K41" s="1"/>
      <c r="L41" s="1"/>
    </row>
    <row r="42" spans="1:12" ht="13.5" hidden="1" customHeight="1" outlineLevel="1">
      <c r="A42" s="389" t="s">
        <v>150</v>
      </c>
      <c r="B42" s="391"/>
      <c r="C42" s="11"/>
      <c r="D42" s="401"/>
      <c r="E42" s="51"/>
      <c r="F42" s="409"/>
      <c r="G42" s="1"/>
      <c r="H42" s="50"/>
      <c r="I42" s="11"/>
      <c r="J42" s="1"/>
      <c r="K42" s="1"/>
      <c r="L42" s="1"/>
    </row>
    <row r="43" spans="1:12" ht="13.5" hidden="1" customHeight="1" outlineLevel="1">
      <c r="A43" s="389" t="s">
        <v>151</v>
      </c>
      <c r="B43" s="391"/>
      <c r="C43" s="11"/>
      <c r="D43" s="401"/>
      <c r="E43" s="51"/>
      <c r="F43" s="409"/>
      <c r="G43" s="1"/>
      <c r="H43" s="50"/>
      <c r="I43" s="11"/>
      <c r="J43" s="1"/>
      <c r="K43" s="1"/>
      <c r="L43" s="1"/>
    </row>
    <row r="44" spans="1:12" ht="13.5" hidden="1" customHeight="1" outlineLevel="1">
      <c r="A44" s="37" t="s">
        <v>152</v>
      </c>
      <c r="B44" s="38"/>
      <c r="C44" s="404"/>
      <c r="D44" s="53"/>
      <c r="E44" s="405"/>
      <c r="F44" s="62"/>
      <c r="G44" s="1"/>
      <c r="H44" s="50"/>
      <c r="I44" s="11"/>
      <c r="J44" s="1"/>
      <c r="K44" s="1"/>
      <c r="L44" s="1"/>
    </row>
    <row r="45" spans="1:12" ht="13.5" customHeight="1" collapsed="1">
      <c r="A45" s="55"/>
      <c r="B45" s="56"/>
      <c r="C45" s="56"/>
      <c r="D45" s="56"/>
      <c r="E45" s="56"/>
      <c r="F45" s="57"/>
      <c r="G45" s="1"/>
      <c r="H45" s="50"/>
      <c r="I45" s="11"/>
      <c r="J45" s="1"/>
      <c r="K45" s="1"/>
      <c r="L45" s="1"/>
    </row>
    <row r="46" spans="1:12" ht="13.5" customHeight="1">
      <c r="A46" s="312" t="s">
        <v>153</v>
      </c>
      <c r="B46" s="366"/>
      <c r="C46" s="366"/>
      <c r="D46" s="314"/>
      <c r="E46" s="366"/>
      <c r="F46" s="45"/>
      <c r="G46" s="1"/>
      <c r="H46" s="50"/>
      <c r="I46" s="11"/>
      <c r="J46" s="1"/>
      <c r="K46" s="1"/>
      <c r="L46" s="1"/>
    </row>
    <row r="47" spans="1:12" ht="13.5" customHeight="1">
      <c r="A47" s="46" t="s">
        <v>120</v>
      </c>
      <c r="B47" s="47" t="s">
        <v>121</v>
      </c>
      <c r="C47" s="399" t="s">
        <v>88</v>
      </c>
      <c r="D47" s="48" t="s">
        <v>122</v>
      </c>
      <c r="E47" s="400" t="s">
        <v>123</v>
      </c>
      <c r="F47" s="49" t="s">
        <v>111</v>
      </c>
      <c r="G47" s="1"/>
      <c r="H47" s="59"/>
      <c r="I47" s="59"/>
      <c r="J47" s="1"/>
      <c r="K47" s="1"/>
      <c r="L47" s="1"/>
    </row>
    <row r="48" spans="1:12" ht="13.5" customHeight="1">
      <c r="A48" s="389" t="s">
        <v>154</v>
      </c>
      <c r="B48" s="391">
        <v>0.5</v>
      </c>
      <c r="C48" s="11" t="s">
        <v>155</v>
      </c>
      <c r="D48" s="401">
        <v>10.07</v>
      </c>
      <c r="E48" s="51"/>
      <c r="F48" s="402"/>
      <c r="G48" s="50"/>
      <c r="H48" s="410">
        <f ca="1">((Databases!B5+Databases!C5)/2)*Databases!M4</f>
        <v>10.187939249999989</v>
      </c>
      <c r="I48" s="11" t="s">
        <v>156</v>
      </c>
      <c r="J48" s="1"/>
      <c r="K48" s="1"/>
      <c r="L48" s="1"/>
    </row>
    <row r="49" spans="1:12" ht="13.5" customHeight="1">
      <c r="A49" s="389" t="s">
        <v>157</v>
      </c>
      <c r="B49" s="77">
        <v>0.25</v>
      </c>
      <c r="C49" s="11" t="s">
        <v>95</v>
      </c>
      <c r="D49" s="411"/>
      <c r="E49" s="51"/>
      <c r="F49" s="402"/>
      <c r="G49" s="1"/>
      <c r="H49" s="410">
        <v>0.25</v>
      </c>
      <c r="I49" s="11" t="s">
        <v>158</v>
      </c>
      <c r="J49" s="60" t="s">
        <v>159</v>
      </c>
      <c r="K49" s="1"/>
      <c r="L49" s="1"/>
    </row>
    <row r="50" spans="1:12" ht="13.5" customHeight="1">
      <c r="A50" s="37" t="s">
        <v>160</v>
      </c>
      <c r="B50" s="63">
        <v>0.3</v>
      </c>
      <c r="C50" s="404" t="s">
        <v>95</v>
      </c>
      <c r="D50" s="64"/>
      <c r="E50" s="405"/>
      <c r="F50" s="54"/>
      <c r="G50" s="1"/>
      <c r="H50" s="410">
        <v>0.3</v>
      </c>
      <c r="I50" s="11" t="s">
        <v>161</v>
      </c>
      <c r="J50" s="1"/>
      <c r="K50" s="1"/>
      <c r="L50" s="1"/>
    </row>
    <row r="51" spans="1:12" ht="13.5" customHeight="1">
      <c r="A51" s="312"/>
      <c r="B51" s="366"/>
      <c r="C51" s="366"/>
      <c r="D51" s="314"/>
      <c r="E51" s="366"/>
      <c r="F51" s="45"/>
      <c r="G51" s="1"/>
      <c r="J51" s="1"/>
      <c r="K51" s="1"/>
      <c r="L51" s="1"/>
    </row>
    <row r="52" spans="1:12" ht="13.5" customHeight="1">
      <c r="A52" s="312" t="s">
        <v>162</v>
      </c>
      <c r="B52" s="366"/>
      <c r="C52" s="366"/>
      <c r="D52" s="314"/>
      <c r="E52" s="366"/>
      <c r="F52" s="45"/>
      <c r="G52" s="1"/>
      <c r="J52" s="1"/>
      <c r="K52" s="1"/>
      <c r="L52" s="1"/>
    </row>
    <row r="53" spans="1:12" ht="13.5" customHeight="1">
      <c r="A53" s="46" t="s">
        <v>120</v>
      </c>
      <c r="B53" s="65" t="s">
        <v>121</v>
      </c>
      <c r="C53" s="399" t="s">
        <v>88</v>
      </c>
      <c r="D53" s="48" t="s">
        <v>122</v>
      </c>
      <c r="E53" s="400" t="s">
        <v>123</v>
      </c>
      <c r="F53" s="49" t="s">
        <v>111</v>
      </c>
      <c r="G53" s="1"/>
      <c r="H53" s="50"/>
      <c r="I53" s="11"/>
      <c r="J53" s="1"/>
      <c r="K53" s="1"/>
      <c r="L53" s="1"/>
    </row>
    <row r="54" spans="1:12" ht="13.5" customHeight="1">
      <c r="A54" s="389" t="s">
        <v>163</v>
      </c>
      <c r="B54" s="412">
        <v>1</v>
      </c>
      <c r="C54" s="11"/>
      <c r="D54" s="401">
        <v>7776</v>
      </c>
      <c r="E54" s="51"/>
      <c r="F54" s="402"/>
      <c r="G54" s="1"/>
      <c r="H54" s="410" t="e">
        <f ca="1">_xludf.ifs($B$14="Solids",0.025*Databases!P19,$B$14="Solid-fluid",0.025*Databases!Q19,$B$14="Fluid",0.025*Databases!R19)*H63</f>
        <v>#NAME?</v>
      </c>
      <c r="I54" s="11" t="s">
        <v>164</v>
      </c>
      <c r="J54" s="60" t="s">
        <v>159</v>
      </c>
      <c r="K54" s="1"/>
      <c r="L54" s="1"/>
    </row>
    <row r="55" spans="1:12" ht="13.5" customHeight="1">
      <c r="A55" s="389" t="s">
        <v>165</v>
      </c>
      <c r="B55" s="412">
        <v>1</v>
      </c>
      <c r="C55" s="11"/>
      <c r="D55" s="401">
        <v>6293</v>
      </c>
      <c r="E55" s="51"/>
      <c r="F55" s="402"/>
      <c r="G55" s="1"/>
      <c r="H55" s="410" t="e">
        <f ca="1">_xludf.ifs($B$14="Solids",0.02*Databases!P17,$B$14="Solid-fluid",0.02*Databases!Q17,$B$14="Fluid",0.02*Databases!R17)*H63</f>
        <v>#NAME?</v>
      </c>
      <c r="I55" s="11" t="s">
        <v>166</v>
      </c>
      <c r="J55" s="60" t="s">
        <v>159</v>
      </c>
      <c r="K55" s="1"/>
      <c r="L55" s="1"/>
    </row>
    <row r="56" spans="1:12" ht="13.5" customHeight="1">
      <c r="A56" s="389" t="s">
        <v>167</v>
      </c>
      <c r="B56" s="412">
        <v>1</v>
      </c>
      <c r="C56" s="11"/>
      <c r="D56" s="401">
        <v>3000</v>
      </c>
      <c r="E56" s="51"/>
      <c r="F56" s="402"/>
      <c r="G56" s="1"/>
      <c r="H56" s="50"/>
      <c r="I56" s="11"/>
      <c r="J56" s="1"/>
      <c r="K56" s="1"/>
      <c r="L56" s="1"/>
    </row>
    <row r="57" spans="1:12" ht="13.5" customHeight="1">
      <c r="A57" s="389" t="s">
        <v>168</v>
      </c>
      <c r="B57" s="412">
        <v>1</v>
      </c>
      <c r="C57" s="11"/>
      <c r="D57" s="401">
        <v>2000</v>
      </c>
      <c r="E57" s="51"/>
      <c r="F57" s="402"/>
      <c r="G57" s="1"/>
      <c r="H57" s="50"/>
      <c r="I57" s="11"/>
      <c r="J57" s="1"/>
      <c r="K57" s="1"/>
      <c r="L57" s="1"/>
    </row>
    <row r="58" spans="1:12" ht="13.5" hidden="1" customHeight="1" outlineLevel="1">
      <c r="A58" s="389" t="s">
        <v>150</v>
      </c>
      <c r="B58" s="413">
        <v>1</v>
      </c>
      <c r="C58" s="66"/>
      <c r="D58" s="401"/>
      <c r="E58" s="67"/>
      <c r="F58" s="409"/>
      <c r="G58" s="1"/>
      <c r="J58" s="1"/>
      <c r="K58" s="1"/>
      <c r="L58" s="1"/>
    </row>
    <row r="59" spans="1:12" ht="13.5" hidden="1" customHeight="1" outlineLevel="1">
      <c r="A59" s="389" t="s">
        <v>151</v>
      </c>
      <c r="B59" s="413">
        <v>1</v>
      </c>
      <c r="C59" s="66"/>
      <c r="D59" s="401"/>
      <c r="E59" s="67"/>
      <c r="F59" s="409"/>
      <c r="G59" s="1"/>
      <c r="J59" s="1"/>
      <c r="K59" s="1"/>
      <c r="L59" s="1"/>
    </row>
    <row r="60" spans="1:12" ht="13.5" hidden="1" customHeight="1" outlineLevel="1">
      <c r="A60" s="389" t="s">
        <v>152</v>
      </c>
      <c r="B60" s="413">
        <v>1</v>
      </c>
      <c r="C60" s="66"/>
      <c r="D60" s="401"/>
      <c r="E60" s="67"/>
      <c r="F60" s="409"/>
      <c r="G60" s="1"/>
      <c r="H60" s="50"/>
      <c r="I60" s="11"/>
      <c r="J60" s="1"/>
      <c r="K60" s="1"/>
      <c r="L60" s="1"/>
    </row>
    <row r="61" spans="1:12" ht="13.5" customHeight="1" collapsed="1">
      <c r="A61" s="68"/>
      <c r="B61" s="69"/>
      <c r="C61" s="69"/>
      <c r="D61" s="314"/>
      <c r="E61" s="366"/>
      <c r="F61" s="45"/>
      <c r="G61" s="1"/>
      <c r="H61" s="50"/>
      <c r="I61" s="11"/>
      <c r="J61" s="1"/>
      <c r="K61" s="1"/>
      <c r="L61" s="1"/>
    </row>
    <row r="62" spans="1:12" ht="15" customHeight="1">
      <c r="A62" s="377" t="s">
        <v>169</v>
      </c>
      <c r="B62" s="370"/>
      <c r="C62" s="370"/>
      <c r="D62" s="370"/>
      <c r="E62" s="370"/>
      <c r="F62" s="369"/>
      <c r="G62" s="1"/>
      <c r="H62" s="70" t="s">
        <v>170</v>
      </c>
      <c r="I62" s="71"/>
      <c r="J62" s="1"/>
      <c r="K62" s="1"/>
      <c r="L62" s="1"/>
    </row>
    <row r="63" spans="1:12" ht="15" customHeight="1">
      <c r="A63" s="368"/>
      <c r="B63" s="370"/>
      <c r="C63" s="370"/>
      <c r="D63" s="370"/>
      <c r="E63" s="370"/>
      <c r="F63" s="369"/>
      <c r="G63" s="1"/>
      <c r="H63" s="72">
        <f>SUMPRODUCT(B67:B72,D67:D72)</f>
        <v>169640</v>
      </c>
      <c r="I63" s="73" t="s">
        <v>171</v>
      </c>
      <c r="J63" s="1"/>
      <c r="K63" s="1"/>
      <c r="L63" s="1"/>
    </row>
    <row r="64" spans="1:12" ht="13.5" customHeight="1">
      <c r="A64" s="371"/>
      <c r="B64" s="1"/>
      <c r="C64" s="1"/>
      <c r="D64" s="1"/>
      <c r="E64" s="1"/>
      <c r="F64" s="372"/>
      <c r="G64" s="1"/>
      <c r="H64" s="50"/>
      <c r="J64" s="1"/>
      <c r="K64" s="1"/>
      <c r="L64" s="1"/>
    </row>
    <row r="65" spans="1:12" ht="13.5" customHeight="1">
      <c r="A65" s="312" t="s">
        <v>172</v>
      </c>
      <c r="B65" s="366"/>
      <c r="C65" s="366"/>
      <c r="D65" s="314"/>
      <c r="E65" s="366"/>
      <c r="F65" s="45"/>
      <c r="G65" s="1"/>
      <c r="H65" s="50"/>
      <c r="I65" s="11"/>
      <c r="J65" s="1"/>
      <c r="K65" s="1"/>
      <c r="L65" s="1"/>
    </row>
    <row r="66" spans="1:12" ht="13.5" customHeight="1">
      <c r="A66" s="46" t="s">
        <v>120</v>
      </c>
      <c r="B66" s="47" t="s">
        <v>121</v>
      </c>
      <c r="C66" s="399" t="s">
        <v>88</v>
      </c>
      <c r="D66" s="48" t="s">
        <v>122</v>
      </c>
      <c r="E66" s="400" t="s">
        <v>123</v>
      </c>
      <c r="F66" s="49" t="s">
        <v>111</v>
      </c>
      <c r="G66" s="1"/>
      <c r="J66" s="1"/>
      <c r="K66" s="1"/>
      <c r="L66" s="1"/>
    </row>
    <row r="67" spans="1:12" ht="13.5" customHeight="1">
      <c r="A67" s="389" t="s">
        <v>173</v>
      </c>
      <c r="B67" s="414">
        <v>2000</v>
      </c>
      <c r="C67" s="11"/>
      <c r="D67" s="415">
        <v>3</v>
      </c>
      <c r="E67" s="51"/>
      <c r="F67" s="402"/>
      <c r="G67" s="1"/>
      <c r="J67" s="1"/>
      <c r="K67" s="1"/>
      <c r="L67" s="1"/>
    </row>
    <row r="68" spans="1:12" ht="13.5" customHeight="1">
      <c r="A68" s="389" t="s">
        <v>174</v>
      </c>
      <c r="B68" s="414">
        <v>20000</v>
      </c>
      <c r="C68" s="11"/>
      <c r="D68" s="415">
        <v>7</v>
      </c>
      <c r="E68" s="74"/>
      <c r="F68" s="416"/>
      <c r="G68" s="11"/>
      <c r="H68" s="50"/>
      <c r="I68" s="11"/>
      <c r="J68" s="11"/>
      <c r="K68" s="11"/>
      <c r="L68" s="11"/>
    </row>
    <row r="69" spans="1:12" ht="13.5" customHeight="1">
      <c r="A69" s="389" t="s">
        <v>175</v>
      </c>
      <c r="B69" s="414">
        <v>500</v>
      </c>
      <c r="C69" s="11"/>
      <c r="D69" s="415">
        <v>43</v>
      </c>
      <c r="E69" s="74"/>
      <c r="F69" s="416"/>
      <c r="G69" s="11"/>
      <c r="H69" s="50"/>
      <c r="I69" s="11"/>
      <c r="J69" s="11"/>
      <c r="K69" s="11"/>
      <c r="L69" s="11"/>
    </row>
    <row r="70" spans="1:12" ht="13.5" hidden="1" customHeight="1" outlineLevel="1">
      <c r="A70" s="389" t="s">
        <v>176</v>
      </c>
      <c r="B70" s="414">
        <v>200</v>
      </c>
      <c r="C70" s="11"/>
      <c r="D70" s="415">
        <v>6</v>
      </c>
      <c r="E70" s="74"/>
      <c r="F70" s="416"/>
      <c r="G70" s="11"/>
      <c r="H70" s="50"/>
      <c r="I70" s="11"/>
      <c r="J70" s="11"/>
      <c r="K70" s="11"/>
      <c r="L70" s="11"/>
    </row>
    <row r="71" spans="1:12" ht="13.5" hidden="1" customHeight="1" outlineLevel="1">
      <c r="A71" s="389" t="s">
        <v>177</v>
      </c>
      <c r="B71" s="414">
        <v>20</v>
      </c>
      <c r="C71" s="11"/>
      <c r="D71" s="415">
        <v>7</v>
      </c>
      <c r="E71" s="74"/>
      <c r="F71" s="416"/>
      <c r="G71" s="11"/>
      <c r="H71" s="50"/>
      <c r="I71" s="11"/>
      <c r="J71" s="11"/>
      <c r="K71" s="11"/>
      <c r="L71" s="11"/>
    </row>
    <row r="72" spans="1:12" ht="13.5" hidden="1" customHeight="1" outlineLevel="1">
      <c r="A72" s="389" t="s">
        <v>178</v>
      </c>
      <c r="B72" s="414">
        <v>100</v>
      </c>
      <c r="C72" s="11"/>
      <c r="D72" s="415">
        <v>8</v>
      </c>
      <c r="E72" s="74"/>
      <c r="F72" s="416"/>
      <c r="G72" s="11"/>
      <c r="H72" s="50"/>
      <c r="I72" s="11"/>
      <c r="J72" s="11"/>
      <c r="K72" s="11"/>
      <c r="L72" s="11"/>
    </row>
    <row r="73" spans="1:12" ht="13.5" customHeight="1" collapsed="1">
      <c r="A73" s="389" t="s">
        <v>179</v>
      </c>
      <c r="B73" s="391">
        <v>1</v>
      </c>
      <c r="C73" s="11"/>
      <c r="D73" s="401">
        <v>70000</v>
      </c>
      <c r="E73" s="51"/>
      <c r="F73" s="402"/>
      <c r="G73" s="1"/>
      <c r="H73" s="410" t="e">
        <f ca="1">_xludf.ifs($B$14="Solids",Databases!P11,$B$14="Solid-fluid",Databases!Q11,$B$14="Fluid",Databases!R11)*H63</f>
        <v>#NAME?</v>
      </c>
      <c r="I73" s="11" t="s">
        <v>180</v>
      </c>
      <c r="J73" s="60" t="s">
        <v>159</v>
      </c>
      <c r="K73" s="1"/>
      <c r="L73" s="1"/>
    </row>
    <row r="74" spans="1:12" ht="13.5" customHeight="1">
      <c r="A74" s="371" t="s">
        <v>181</v>
      </c>
      <c r="B74" s="391">
        <v>1</v>
      </c>
      <c r="C74" s="11" t="s">
        <v>182</v>
      </c>
      <c r="D74" s="401">
        <v>145</v>
      </c>
      <c r="E74" s="51"/>
      <c r="F74" s="402"/>
      <c r="G74" s="1"/>
      <c r="H74" s="410" t="e">
        <f ca="1">_xludf.ifs(B13=Databases!A10,Databases!C10,B13=Databases!A11,Databases!C11,B13=Databases!A12,Databases!C12)</f>
        <v>#NAME?</v>
      </c>
      <c r="I74" s="11" t="s">
        <v>183</v>
      </c>
      <c r="J74" s="60" t="s">
        <v>159</v>
      </c>
      <c r="K74" s="1"/>
      <c r="L74" s="1"/>
    </row>
    <row r="75" spans="1:12" ht="13.5" customHeight="1">
      <c r="A75" s="315"/>
      <c r="B75" s="366"/>
      <c r="C75" s="366"/>
      <c r="D75" s="316"/>
      <c r="E75" s="366"/>
      <c r="F75" s="45"/>
      <c r="G75" s="1"/>
      <c r="H75" s="75"/>
      <c r="I75" s="11"/>
      <c r="J75" s="1"/>
      <c r="K75" s="1"/>
      <c r="L75" s="1"/>
    </row>
    <row r="76" spans="1:12" ht="13.5" customHeight="1">
      <c r="A76" s="31" t="s">
        <v>184</v>
      </c>
      <c r="B76" s="44"/>
      <c r="C76" s="44"/>
      <c r="D76" s="44"/>
      <c r="E76" s="44"/>
      <c r="F76" s="45"/>
      <c r="G76" s="1"/>
      <c r="H76" s="417" t="e">
        <f ca="1">_xludf.ifs($B$14="Solids",Databases!P12,$B$14="Solid-fluid",Databases!Q12,$B$14="Fluid",Databases!R12)</f>
        <v>#NAME?</v>
      </c>
      <c r="I76" s="11" t="s">
        <v>185</v>
      </c>
      <c r="J76" s="60" t="s">
        <v>159</v>
      </c>
      <c r="K76" s="1"/>
      <c r="L76" s="1"/>
    </row>
    <row r="77" spans="1:12" ht="13.5" customHeight="1">
      <c r="A77" s="46" t="s">
        <v>120</v>
      </c>
      <c r="B77" s="47" t="s">
        <v>121</v>
      </c>
      <c r="C77" s="399" t="s">
        <v>88</v>
      </c>
      <c r="D77" s="399" t="s">
        <v>122</v>
      </c>
      <c r="E77" s="400" t="s">
        <v>123</v>
      </c>
      <c r="F77" s="49" t="s">
        <v>111</v>
      </c>
      <c r="G77" s="1"/>
      <c r="H77" s="75"/>
      <c r="I77" s="11"/>
      <c r="J77" s="1"/>
      <c r="K77" s="1"/>
      <c r="L77" s="1"/>
    </row>
    <row r="78" spans="1:12" ht="13.5" customHeight="1">
      <c r="A78" s="389" t="s">
        <v>186</v>
      </c>
      <c r="B78" s="77">
        <v>0.33</v>
      </c>
      <c r="C78" s="11" t="s">
        <v>95</v>
      </c>
      <c r="D78" s="1"/>
      <c r="E78" s="51"/>
      <c r="F78" s="402"/>
      <c r="G78" s="1"/>
      <c r="H78" s="417" t="e">
        <f ca="1">_xludf.ifs($B$14="Solids",Databases!P13,$B$14="Solid-fluid",Databases!Q13,$B$14="Fluid",Databases!R13)</f>
        <v>#NAME?</v>
      </c>
      <c r="I78" s="11" t="s">
        <v>187</v>
      </c>
      <c r="J78" s="60" t="s">
        <v>159</v>
      </c>
      <c r="K78" s="1"/>
      <c r="L78" s="1"/>
    </row>
    <row r="79" spans="1:12" ht="13.5" customHeight="1">
      <c r="A79" s="389" t="s">
        <v>188</v>
      </c>
      <c r="B79" s="77">
        <v>0.39</v>
      </c>
      <c r="C79" s="11" t="s">
        <v>95</v>
      </c>
      <c r="D79" s="1"/>
      <c r="E79" s="51"/>
      <c r="F79" s="402"/>
      <c r="G79" s="1"/>
      <c r="H79" s="417" t="e">
        <f ca="1">_xludf.ifs($B$14="Solids",Databases!P14,$B$14="Solid-fluid",Databases!Q14,$B$14="Fluid",Databases!R14)</f>
        <v>#NAME?</v>
      </c>
      <c r="I79" s="11" t="s">
        <v>189</v>
      </c>
      <c r="J79" s="60" t="s">
        <v>159</v>
      </c>
      <c r="K79" s="1"/>
      <c r="L79" s="1"/>
    </row>
    <row r="80" spans="1:12" ht="13.5" customHeight="1">
      <c r="A80" s="389" t="s">
        <v>190</v>
      </c>
      <c r="B80" s="77">
        <v>0.02</v>
      </c>
      <c r="C80" s="11" t="s">
        <v>95</v>
      </c>
      <c r="D80" s="1"/>
      <c r="E80" s="51"/>
      <c r="F80" s="402"/>
      <c r="G80" s="1"/>
      <c r="H80" s="417" t="e">
        <f ca="1">_xludf.ifs($B$14="Solids",Databases!P15,$B$14="Solid-fluid",Databases!Q15,$B$14="Fluid",Databases!R15)</f>
        <v>#NAME?</v>
      </c>
      <c r="I80" s="11" t="s">
        <v>191</v>
      </c>
      <c r="J80" s="60" t="s">
        <v>159</v>
      </c>
      <c r="K80" s="1"/>
      <c r="L80" s="1"/>
    </row>
    <row r="81" spans="1:12" ht="13.5" customHeight="1">
      <c r="A81" s="389" t="s">
        <v>192</v>
      </c>
      <c r="B81" s="77">
        <v>0.25</v>
      </c>
      <c r="C81" s="11" t="s">
        <v>95</v>
      </c>
      <c r="D81" s="1"/>
      <c r="E81" s="51"/>
      <c r="F81" s="402"/>
      <c r="G81" s="1"/>
      <c r="H81" s="417" t="e">
        <f ca="1">_xludf.ifs($B$14="Solids",Databases!P16,$B$14="Solid-fluid",Databases!Q16,$B$14="Fluid",Databases!R16)</f>
        <v>#NAME?</v>
      </c>
      <c r="I81" s="11" t="s">
        <v>193</v>
      </c>
      <c r="J81" s="60" t="s">
        <v>159</v>
      </c>
      <c r="K81" s="1"/>
      <c r="L81" s="1"/>
    </row>
    <row r="82" spans="1:12" ht="13.5" customHeight="1">
      <c r="A82" s="389" t="s">
        <v>194</v>
      </c>
      <c r="B82" s="77">
        <v>0.4</v>
      </c>
      <c r="C82" s="11" t="s">
        <v>95</v>
      </c>
      <c r="D82" s="1"/>
      <c r="E82" s="51"/>
      <c r="F82" s="402"/>
      <c r="G82" s="1"/>
      <c r="H82" s="50"/>
      <c r="I82" s="11"/>
      <c r="J82" s="1"/>
      <c r="K82" s="1"/>
      <c r="L82" s="1"/>
    </row>
    <row r="83" spans="1:12" ht="13.5" customHeight="1">
      <c r="A83" s="389" t="s">
        <v>195</v>
      </c>
      <c r="B83" s="76">
        <v>0.1</v>
      </c>
      <c r="C83" s="11" t="s">
        <v>95</v>
      </c>
      <c r="D83" s="1"/>
      <c r="E83" s="51"/>
      <c r="F83" s="402"/>
      <c r="G83" s="1"/>
      <c r="H83" s="50"/>
      <c r="I83" s="11"/>
      <c r="J83" s="1"/>
      <c r="K83" s="1"/>
      <c r="L83" s="1"/>
    </row>
    <row r="84" spans="1:12" ht="13.5" customHeight="1">
      <c r="A84" s="389" t="s">
        <v>196</v>
      </c>
      <c r="B84" s="77">
        <v>0.05</v>
      </c>
      <c r="C84" s="11" t="s">
        <v>95</v>
      </c>
      <c r="D84" s="1"/>
      <c r="E84" s="51"/>
      <c r="F84" s="402"/>
      <c r="G84" s="1"/>
      <c r="H84" s="50"/>
      <c r="I84" s="11"/>
      <c r="J84" s="1"/>
      <c r="K84" s="1"/>
      <c r="L84" s="1"/>
    </row>
    <row r="85" spans="1:12" ht="13.5" customHeight="1">
      <c r="A85" s="37" t="s">
        <v>197</v>
      </c>
      <c r="B85" s="63">
        <v>0.1</v>
      </c>
      <c r="C85" s="404" t="s">
        <v>95</v>
      </c>
      <c r="D85" s="418"/>
      <c r="E85" s="405"/>
      <c r="F85" s="54"/>
      <c r="G85" s="1"/>
      <c r="H85" s="50"/>
      <c r="I85" s="11"/>
      <c r="J85" s="1"/>
      <c r="K85" s="1"/>
      <c r="L85" s="1"/>
    </row>
    <row r="86" spans="1:12" ht="13.5" customHeight="1">
      <c r="A86" s="419" t="s">
        <v>198</v>
      </c>
      <c r="B86" s="25"/>
      <c r="C86" s="25"/>
      <c r="D86" s="78" t="e">
        <f ca="1">H86*H63</f>
        <v>#NAME?</v>
      </c>
      <c r="E86" s="1"/>
      <c r="F86" s="372"/>
      <c r="G86" s="1"/>
      <c r="H86" s="417" t="e">
        <f ca="1">_xludf.ifs($B$14="Solids",4.6,$B$14="Solid-fluid",4.9,$B$14="Fluid",5.7)</f>
        <v>#NAME?</v>
      </c>
      <c r="I86" s="11" t="s">
        <v>199</v>
      </c>
      <c r="J86" s="60" t="s">
        <v>159</v>
      </c>
      <c r="K86" s="1"/>
      <c r="L86" s="1"/>
    </row>
    <row r="87" spans="1:12" ht="15" customHeight="1">
      <c r="A87" s="377" t="s">
        <v>200</v>
      </c>
      <c r="B87" s="370"/>
      <c r="C87" s="370"/>
      <c r="D87" s="370"/>
      <c r="E87" s="370"/>
      <c r="F87" s="369"/>
      <c r="G87" s="1"/>
      <c r="H87" s="50"/>
      <c r="I87" s="11"/>
      <c r="J87" s="1"/>
      <c r="K87" s="1"/>
      <c r="L87" s="1"/>
    </row>
    <row r="88" spans="1:12" ht="15" customHeight="1">
      <c r="A88" s="368"/>
      <c r="B88" s="370"/>
      <c r="C88" s="370"/>
      <c r="D88" s="370"/>
      <c r="E88" s="370"/>
      <c r="F88" s="369"/>
      <c r="G88" s="1"/>
      <c r="H88" s="50"/>
      <c r="I88" s="11"/>
      <c r="K88" s="1"/>
      <c r="L88" s="1"/>
    </row>
    <row r="89" spans="1:12" ht="13.5" customHeight="1">
      <c r="A89" s="371"/>
      <c r="B89" s="1"/>
      <c r="C89" s="1"/>
      <c r="D89" s="1"/>
      <c r="E89" s="1"/>
      <c r="F89" s="372"/>
      <c r="G89" s="1"/>
      <c r="H89" s="50"/>
      <c r="I89" s="11"/>
      <c r="J89" s="11"/>
      <c r="K89" s="1"/>
      <c r="L89" s="1"/>
    </row>
    <row r="90" spans="1:12" ht="13.5" customHeight="1">
      <c r="A90" s="312" t="s">
        <v>201</v>
      </c>
      <c r="B90" s="366"/>
      <c r="C90" s="366"/>
      <c r="D90" s="314"/>
      <c r="E90" s="366"/>
      <c r="F90" s="45"/>
      <c r="G90" s="1"/>
      <c r="H90" s="50"/>
      <c r="I90" s="11"/>
      <c r="J90" s="1"/>
      <c r="K90" s="1"/>
      <c r="L90" s="1"/>
    </row>
    <row r="91" spans="1:12" ht="13.5" customHeight="1">
      <c r="A91" s="46" t="s">
        <v>202</v>
      </c>
      <c r="B91" s="47" t="s">
        <v>89</v>
      </c>
      <c r="C91" s="399" t="s">
        <v>88</v>
      </c>
      <c r="D91" s="48" t="s">
        <v>203</v>
      </c>
      <c r="E91" s="400" t="s">
        <v>123</v>
      </c>
      <c r="F91" s="49" t="s">
        <v>111</v>
      </c>
      <c r="G91" s="1"/>
      <c r="H91" s="50"/>
      <c r="I91" s="11"/>
      <c r="J91" s="1"/>
      <c r="K91" s="1"/>
      <c r="L91" s="1"/>
    </row>
    <row r="92" spans="1:12" ht="13.5" customHeight="1">
      <c r="A92" s="389" t="s">
        <v>204</v>
      </c>
      <c r="B92" s="412">
        <f>B10*B11</f>
        <v>1800</v>
      </c>
      <c r="C92" s="11"/>
      <c r="D92" s="420">
        <v>200</v>
      </c>
      <c r="E92" s="51"/>
      <c r="F92" s="402"/>
      <c r="G92" s="1"/>
      <c r="H92" s="50"/>
      <c r="I92" s="11"/>
      <c r="J92" s="1"/>
      <c r="K92" s="1"/>
      <c r="L92" s="1"/>
    </row>
    <row r="93" spans="1:12" ht="13.5" customHeight="1">
      <c r="A93" s="389" t="s">
        <v>205</v>
      </c>
      <c r="B93" s="391">
        <v>20</v>
      </c>
      <c r="C93" s="11"/>
      <c r="D93" s="420">
        <v>300</v>
      </c>
      <c r="E93" s="51"/>
      <c r="F93" s="402"/>
      <c r="G93" s="1"/>
      <c r="H93" s="50"/>
      <c r="I93" s="11"/>
      <c r="J93" s="1"/>
      <c r="K93" s="1"/>
      <c r="L93" s="1"/>
    </row>
    <row r="94" spans="1:12" ht="13.5" customHeight="1">
      <c r="A94" s="389" t="s">
        <v>206</v>
      </c>
      <c r="B94" s="391">
        <v>20</v>
      </c>
      <c r="C94" s="11"/>
      <c r="D94" s="420">
        <v>5</v>
      </c>
      <c r="E94" s="51"/>
      <c r="F94" s="402"/>
      <c r="G94" s="1"/>
      <c r="H94" s="50"/>
      <c r="I94" s="11"/>
      <c r="J94" s="1"/>
      <c r="K94" s="1"/>
      <c r="L94" s="1"/>
    </row>
    <row r="95" spans="1:12" ht="13.5" customHeight="1">
      <c r="A95" s="37" t="s">
        <v>207</v>
      </c>
      <c r="B95" s="38"/>
      <c r="C95" s="404"/>
      <c r="D95" s="79"/>
      <c r="E95" s="405"/>
      <c r="F95" s="54"/>
      <c r="G95" s="1"/>
      <c r="H95" s="50"/>
      <c r="I95" s="11"/>
      <c r="J95" s="1"/>
      <c r="K95" s="1"/>
      <c r="L95" s="1"/>
    </row>
    <row r="96" spans="1:12" ht="13.5" customHeight="1">
      <c r="A96" s="1"/>
      <c r="B96" s="1"/>
      <c r="C96" s="1"/>
      <c r="D96" s="1"/>
      <c r="E96" s="1"/>
      <c r="F96" s="1"/>
      <c r="G96" s="1"/>
      <c r="H96" s="50"/>
      <c r="I96" s="11"/>
      <c r="J96" s="1"/>
      <c r="K96" s="1"/>
      <c r="L96" s="1"/>
    </row>
    <row r="97" spans="1:12" ht="13.5" customHeight="1">
      <c r="A97" s="312" t="s">
        <v>208</v>
      </c>
      <c r="B97" s="366"/>
      <c r="C97" s="366"/>
      <c r="D97" s="314"/>
      <c r="E97" s="366"/>
      <c r="F97" s="45"/>
      <c r="G97" s="1"/>
      <c r="H97" s="50"/>
      <c r="I97" s="11"/>
      <c r="J97" s="1"/>
      <c r="K97" s="1"/>
      <c r="L97" s="1"/>
    </row>
    <row r="98" spans="1:12" ht="21" customHeight="1">
      <c r="A98" s="46" t="s">
        <v>202</v>
      </c>
      <c r="B98" s="80" t="s">
        <v>89</v>
      </c>
      <c r="C98" s="399" t="s">
        <v>88</v>
      </c>
      <c r="D98" s="48" t="s">
        <v>203</v>
      </c>
      <c r="E98" s="400" t="s">
        <v>123</v>
      </c>
      <c r="F98" s="49" t="s">
        <v>111</v>
      </c>
      <c r="G98" s="1"/>
      <c r="H98" s="50"/>
      <c r="J98" s="1"/>
      <c r="K98" s="1"/>
      <c r="L98" s="1"/>
    </row>
    <row r="99" spans="1:12" ht="13.5" customHeight="1">
      <c r="A99" s="389" t="s">
        <v>204</v>
      </c>
      <c r="B99" s="421">
        <f>B92</f>
        <v>1800</v>
      </c>
      <c r="C99" s="11"/>
      <c r="D99" s="420">
        <v>140</v>
      </c>
      <c r="E99" s="51"/>
      <c r="F99" s="402"/>
      <c r="G99" s="1"/>
      <c r="H99" s="50"/>
      <c r="J99" s="1"/>
      <c r="K99" s="1"/>
      <c r="L99" s="1"/>
    </row>
    <row r="100" spans="1:12" ht="13.5" customHeight="1">
      <c r="A100" s="389" t="s">
        <v>205</v>
      </c>
      <c r="B100" s="421">
        <v>20</v>
      </c>
      <c r="C100" s="11"/>
      <c r="D100" s="420">
        <v>300</v>
      </c>
      <c r="E100" s="51"/>
      <c r="F100" s="402"/>
      <c r="G100" s="1"/>
      <c r="H100" s="50"/>
      <c r="I100" s="11"/>
      <c r="J100" s="1"/>
      <c r="K100" s="1"/>
      <c r="L100" s="1"/>
    </row>
    <row r="101" spans="1:12" ht="13.5" customHeight="1">
      <c r="A101" s="389" t="s">
        <v>206</v>
      </c>
      <c r="B101" s="421">
        <v>20</v>
      </c>
      <c r="C101" s="11"/>
      <c r="D101" s="420">
        <v>5</v>
      </c>
      <c r="E101" s="51"/>
      <c r="F101" s="402"/>
      <c r="G101" s="1"/>
      <c r="H101" s="50"/>
      <c r="I101" s="11"/>
      <c r="J101" s="1"/>
      <c r="K101" s="1"/>
      <c r="L101" s="1"/>
    </row>
    <row r="102" spans="1:12" ht="13.5" customHeight="1">
      <c r="A102" s="37" t="s">
        <v>207</v>
      </c>
      <c r="B102" s="81"/>
      <c r="C102" s="404"/>
      <c r="D102" s="79"/>
      <c r="E102" s="405"/>
      <c r="F102" s="54"/>
      <c r="G102" s="1"/>
      <c r="H102" s="50"/>
      <c r="I102" s="11"/>
      <c r="J102" s="1"/>
      <c r="K102" s="1"/>
      <c r="L102" s="1"/>
    </row>
  </sheetData>
  <mergeCells count="35">
    <mergeCell ref="A97:C97"/>
    <mergeCell ref="D97:E97"/>
    <mergeCell ref="D61:E61"/>
    <mergeCell ref="A62:F63"/>
    <mergeCell ref="A65:C65"/>
    <mergeCell ref="D65:E65"/>
    <mergeCell ref="A75:C75"/>
    <mergeCell ref="D75:E75"/>
    <mergeCell ref="A87:F88"/>
    <mergeCell ref="A51:C51"/>
    <mergeCell ref="D51:E51"/>
    <mergeCell ref="A52:C52"/>
    <mergeCell ref="D52:E52"/>
    <mergeCell ref="A90:C90"/>
    <mergeCell ref="D90:E90"/>
    <mergeCell ref="A31:C31"/>
    <mergeCell ref="D31:E31"/>
    <mergeCell ref="D37:E37"/>
    <mergeCell ref="A37:C37"/>
    <mergeCell ref="A46:C46"/>
    <mergeCell ref="D46:E46"/>
    <mergeCell ref="E19:E20"/>
    <mergeCell ref="F19:F20"/>
    <mergeCell ref="H24:K25"/>
    <mergeCell ref="A1:F3"/>
    <mergeCell ref="H2:J3"/>
    <mergeCell ref="A7:C7"/>
    <mergeCell ref="E7:F12"/>
    <mergeCell ref="A17:F18"/>
    <mergeCell ref="A19:A20"/>
    <mergeCell ref="B19:B20"/>
    <mergeCell ref="C19:C20"/>
    <mergeCell ref="D19:D20"/>
    <mergeCell ref="A22:C22"/>
    <mergeCell ref="D22:E22"/>
  </mergeCells>
  <dataValidations count="4">
    <dataValidation type="list" allowBlank="1" showErrorMessage="1" sqref="H32" xr:uid="{00000000-0002-0000-0200-000000000000}">
      <formula1>"Live electricity prices,2020-2022 average electricity prices"</formula1>
    </dataValidation>
    <dataValidation type="list" allowBlank="1" showErrorMessage="1" sqref="B12" xr:uid="{00000000-0002-0000-0200-000002000000}">
      <formula1>"Germany,France,Spain,England,Portugal,Netherlands,Greece,Belgium,Findland,Hungary,Sweeden,Italy,Serbia,Slovakia,Poland,Denmark,Austria,Switzerland,Lithuania"</formula1>
    </dataValidation>
    <dataValidation type="list" allowBlank="1" showErrorMessage="1" sqref="B14" xr:uid="{00000000-0002-0000-0200-000003000000}">
      <formula1>"Solids,Solid-Fluid,Fluid"</formula1>
    </dataValidation>
    <dataValidation type="list" allowBlank="1" showErrorMessage="1" sqref="F14" xr:uid="{00000000-0002-0000-0200-000004000000}">
      <formula1>"Dollars,Pounds"</formula1>
    </dataValidation>
  </dataValidations>
  <hyperlinks>
    <hyperlink ref="J32" r:id="rId1" xr:uid="{00000000-0004-0000-0200-000000000000}"/>
    <hyperlink ref="J49" r:id="rId2" xr:uid="{00000000-0004-0000-0200-000001000000}"/>
    <hyperlink ref="J54" r:id="rId3" xr:uid="{00000000-0004-0000-0200-000002000000}"/>
    <hyperlink ref="J55" r:id="rId4" xr:uid="{00000000-0004-0000-0200-000003000000}"/>
    <hyperlink ref="J73" r:id="rId5" xr:uid="{00000000-0004-0000-0200-000004000000}"/>
    <hyperlink ref="J74" r:id="rId6" xr:uid="{00000000-0004-0000-0200-000005000000}"/>
    <hyperlink ref="J76" r:id="rId7" xr:uid="{00000000-0004-0000-0200-000006000000}"/>
    <hyperlink ref="J78" r:id="rId8" xr:uid="{00000000-0004-0000-0200-000007000000}"/>
    <hyperlink ref="J79" r:id="rId9" xr:uid="{00000000-0004-0000-0200-000008000000}"/>
    <hyperlink ref="J80" r:id="rId10" xr:uid="{00000000-0004-0000-0200-000009000000}"/>
    <hyperlink ref="J81" r:id="rId11" xr:uid="{00000000-0004-0000-0200-00000A000000}"/>
    <hyperlink ref="J86" r:id="rId12" xr:uid="{00000000-0004-0000-0200-00000B000000}"/>
  </hyperlinks>
  <pageMargins left="0.7" right="0.7" top="0.75" bottom="0.75" header="0" footer="0"/>
  <pageSetup orientation="landscape"/>
  <drawing r:id="rId13"/>
  <legacyDrawing r:id="rId14"/>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Databases!$A$10:$A$12</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93"/>
  <sheetViews>
    <sheetView showGridLines="0" workbookViewId="0"/>
  </sheetViews>
  <sheetFormatPr defaultColWidth="14.42578125" defaultRowHeight="15" customHeight="1" outlineLevelRow="1" outlineLevelCol="1"/>
  <cols>
    <col min="1" max="1" width="25.5703125" customWidth="1"/>
    <col min="2" max="2" width="13.85546875" customWidth="1"/>
    <col min="3" max="3" width="14.28515625" customWidth="1"/>
    <col min="4" max="5" width="10.7109375" customWidth="1"/>
    <col min="6" max="6" width="21.28515625" customWidth="1"/>
    <col min="7" max="7" width="11.85546875" customWidth="1"/>
    <col min="8" max="10" width="10.7109375" customWidth="1"/>
    <col min="11" max="11" width="13.5703125" hidden="1" customWidth="1" outlineLevel="1"/>
    <col min="12" max="33" width="10.7109375" hidden="1" customWidth="1" outlineLevel="1"/>
    <col min="34" max="34" width="10.7109375" customWidth="1" collapsed="1"/>
  </cols>
  <sheetData>
    <row r="1" spans="1:24" ht="15" customHeight="1">
      <c r="A1" s="302" t="s">
        <v>209</v>
      </c>
      <c r="B1" s="346"/>
      <c r="C1" s="346"/>
      <c r="D1" s="346"/>
      <c r="E1" s="346"/>
      <c r="F1" s="346"/>
      <c r="G1" s="346"/>
      <c r="H1" s="346"/>
      <c r="I1" s="347"/>
    </row>
    <row r="2" spans="1:24" ht="15" customHeight="1">
      <c r="A2" s="348"/>
      <c r="B2" s="349"/>
      <c r="C2" s="349"/>
      <c r="D2" s="349"/>
      <c r="E2" s="349"/>
      <c r="F2" s="349"/>
      <c r="G2" s="349"/>
      <c r="H2" s="349"/>
      <c r="I2" s="350"/>
      <c r="K2" s="422"/>
      <c r="O2" s="422"/>
      <c r="S2" s="422"/>
      <c r="X2" s="422"/>
    </row>
    <row r="3" spans="1:24" ht="15" customHeight="1">
      <c r="A3" s="348"/>
      <c r="B3" s="370"/>
      <c r="C3" s="370"/>
      <c r="D3" s="370"/>
      <c r="E3" s="370"/>
      <c r="F3" s="370"/>
      <c r="G3" s="370"/>
      <c r="H3" s="370"/>
      <c r="I3" s="350"/>
    </row>
    <row r="4" spans="1:24">
      <c r="A4" s="351"/>
      <c r="B4" s="1"/>
      <c r="C4" s="1"/>
      <c r="D4" s="1"/>
      <c r="E4" s="1"/>
      <c r="F4" s="1"/>
      <c r="G4" s="1"/>
      <c r="H4" s="1"/>
      <c r="I4" s="352"/>
    </row>
    <row r="5" spans="1:24" ht="15" customHeight="1">
      <c r="A5" s="317" t="s">
        <v>210</v>
      </c>
      <c r="B5" s="370"/>
      <c r="C5" s="370"/>
      <c r="D5" s="370"/>
      <c r="E5" s="370"/>
      <c r="F5" s="370"/>
      <c r="G5" s="370"/>
      <c r="H5" s="370"/>
      <c r="I5" s="350"/>
    </row>
    <row r="6" spans="1:24" ht="15" customHeight="1">
      <c r="A6" s="348"/>
      <c r="B6" s="370"/>
      <c r="C6" s="370"/>
      <c r="D6" s="370"/>
      <c r="E6" s="370"/>
      <c r="F6" s="370"/>
      <c r="G6" s="370"/>
      <c r="H6" s="370"/>
      <c r="I6" s="350"/>
    </row>
    <row r="7" spans="1:24">
      <c r="A7" s="351"/>
      <c r="B7" s="1"/>
      <c r="C7" s="1"/>
      <c r="D7" s="1"/>
      <c r="E7" s="1"/>
      <c r="F7" s="1"/>
      <c r="G7" s="1"/>
      <c r="H7" s="1"/>
      <c r="I7" s="352"/>
      <c r="O7" s="422"/>
      <c r="S7" s="422"/>
    </row>
    <row r="8" spans="1:24">
      <c r="A8" s="82" t="s">
        <v>211</v>
      </c>
      <c r="B8" s="83">
        <f>'2. Cost Inputs'!B10</f>
        <v>2000</v>
      </c>
      <c r="C8" s="84" t="str">
        <f>'2. Cost Inputs'!C10</f>
        <v>tons/year</v>
      </c>
      <c r="D8" s="85"/>
      <c r="E8" s="1"/>
      <c r="F8" s="312" t="s">
        <v>212</v>
      </c>
      <c r="G8" s="366"/>
      <c r="H8" s="367"/>
      <c r="I8" s="352"/>
    </row>
    <row r="9" spans="1:24">
      <c r="A9" s="86" t="s">
        <v>213</v>
      </c>
      <c r="B9" s="423">
        <f>B8*'2. Cost Inputs'!B11</f>
        <v>1800</v>
      </c>
      <c r="C9" s="87" t="str">
        <f>'2. Cost Inputs'!C10</f>
        <v>tons/year</v>
      </c>
      <c r="D9" s="85"/>
      <c r="E9" s="1"/>
      <c r="F9" s="88" t="s">
        <v>123</v>
      </c>
      <c r="G9" s="89" t="s">
        <v>87</v>
      </c>
      <c r="H9" s="90" t="s">
        <v>88</v>
      </c>
      <c r="I9" s="352"/>
    </row>
    <row r="10" spans="1:24" ht="15" customHeight="1">
      <c r="A10" s="351"/>
      <c r="B10" s="1"/>
      <c r="C10" s="1"/>
      <c r="D10" s="1"/>
      <c r="E10" s="1"/>
      <c r="F10" s="91" t="str">
        <f>"Levelized Cost of "&amp;'2. Cost Inputs'!B9</f>
        <v>Levelized Cost of Co2</v>
      </c>
      <c r="G10" s="92">
        <f>B29</f>
        <v>167.73540423303979</v>
      </c>
      <c r="H10" s="93" t="s">
        <v>214</v>
      </c>
      <c r="I10" s="352"/>
    </row>
    <row r="11" spans="1:24" ht="15" customHeight="1">
      <c r="A11" s="424" t="s">
        <v>215</v>
      </c>
      <c r="B11" s="94" t="s">
        <v>216</v>
      </c>
      <c r="C11" s="94" t="s">
        <v>217</v>
      </c>
      <c r="D11" s="94" t="s">
        <v>218</v>
      </c>
      <c r="E11" s="1"/>
      <c r="F11" s="425" t="s">
        <v>219</v>
      </c>
      <c r="G11" s="95">
        <f>B20</f>
        <v>146.6100888888889</v>
      </c>
      <c r="H11" s="426" t="s">
        <v>214</v>
      </c>
      <c r="I11" s="352"/>
    </row>
    <row r="12" spans="1:24" ht="15" customHeight="1">
      <c r="A12" s="96" t="str">
        <f>'2. Cost Inputs'!A24</f>
        <v>Raw material 1</v>
      </c>
      <c r="B12" s="97">
        <f>'2. Cost Inputs'!B24*'2. Cost Inputs'!D24</f>
        <v>25</v>
      </c>
      <c r="C12" s="97">
        <f t="shared" ref="C12:C18" si="0">B12*$B$9</f>
        <v>45000</v>
      </c>
      <c r="D12" s="98">
        <f t="shared" ref="D12:D20" si="1">C12/$C$29</f>
        <v>0.15909226753508296</v>
      </c>
      <c r="E12" s="1"/>
      <c r="F12" s="427" t="s">
        <v>220</v>
      </c>
      <c r="G12" s="95">
        <f>B28</f>
        <v>21.125315344150888</v>
      </c>
      <c r="H12" s="426" t="s">
        <v>214</v>
      </c>
      <c r="I12" s="352"/>
    </row>
    <row r="13" spans="1:24" ht="15" customHeight="1">
      <c r="A13" s="428" t="str">
        <f>'2. Cost Inputs'!A25</f>
        <v>Raw material 2</v>
      </c>
      <c r="B13" s="99">
        <f>'2. Cost Inputs'!B25*'2. Cost Inputs'!D25</f>
        <v>5</v>
      </c>
      <c r="C13" s="99">
        <f t="shared" si="0"/>
        <v>9000</v>
      </c>
      <c r="D13" s="100">
        <f t="shared" si="1"/>
        <v>3.1818453507016592E-2</v>
      </c>
      <c r="E13" s="1"/>
      <c r="F13" s="425" t="s">
        <v>221</v>
      </c>
      <c r="G13" s="101">
        <f>'2. Cost Inputs'!B33+'2. Cost Inputs'!B34*10.5556+('2. Cost Inputs'!B35*10.55)</f>
        <v>316.10599999999999</v>
      </c>
      <c r="H13" s="426" t="s">
        <v>222</v>
      </c>
      <c r="I13" s="352"/>
    </row>
    <row r="14" spans="1:24" ht="15" customHeight="1">
      <c r="A14" s="428" t="str">
        <f>'2. Cost Inputs'!A26</f>
        <v>Raw material 3</v>
      </c>
      <c r="B14" s="99">
        <f>'2. Cost Inputs'!B26*'2. Cost Inputs'!D26</f>
        <v>10</v>
      </c>
      <c r="C14" s="99">
        <f t="shared" si="0"/>
        <v>18000</v>
      </c>
      <c r="D14" s="100">
        <f t="shared" si="1"/>
        <v>6.3636907014033184E-2</v>
      </c>
      <c r="E14" s="1"/>
      <c r="F14" s="425" t="s">
        <v>223</v>
      </c>
      <c r="G14" s="102">
        <f>Model!E21</f>
        <v>0.33125058727123724</v>
      </c>
      <c r="H14" s="429"/>
      <c r="I14" s="352"/>
    </row>
    <row r="15" spans="1:24" ht="15" customHeight="1">
      <c r="A15" s="428" t="s">
        <v>224</v>
      </c>
      <c r="B15" s="99">
        <f>SUMPRODUCT('2. Cost Inputs'!B27:B29,'2. Cost Inputs'!D27:D29)</f>
        <v>30</v>
      </c>
      <c r="C15" s="99">
        <f t="shared" si="0"/>
        <v>54000</v>
      </c>
      <c r="D15" s="100">
        <f t="shared" si="1"/>
        <v>0.19091072104209958</v>
      </c>
      <c r="E15" s="1"/>
      <c r="F15" s="425" t="s">
        <v>225</v>
      </c>
      <c r="G15" s="103">
        <f>SUMPRODUCT('2. Cost Inputs'!B92:B95,'2. Cost Inputs'!D92:D95)/SUMPRODUCT('2. Cost Inputs'!B99:B102,'2. Cost Inputs'!D99:D102)-1</f>
        <v>0.41844246416117792</v>
      </c>
      <c r="H15" s="429"/>
      <c r="I15" s="352"/>
    </row>
    <row r="16" spans="1:24" ht="15" customHeight="1">
      <c r="A16" s="428" t="s">
        <v>226</v>
      </c>
      <c r="B16" s="99">
        <f>SUMPRODUCT('2. Cost Inputs'!B33:B35,'2. Cost Inputs'!D33:D35)</f>
        <v>31.950000000000003</v>
      </c>
      <c r="C16" s="99">
        <f t="shared" si="0"/>
        <v>57510.000000000007</v>
      </c>
      <c r="D16" s="100">
        <f t="shared" si="1"/>
        <v>0.20331991790983606</v>
      </c>
      <c r="E16" s="1"/>
      <c r="F16" s="425" t="s">
        <v>227</v>
      </c>
      <c r="G16" s="104">
        <f>C29/'2. Cost Inputs'!B10</f>
        <v>141.42736380973579</v>
      </c>
      <c r="H16" s="426" t="s">
        <v>214</v>
      </c>
      <c r="I16" s="352"/>
    </row>
    <row r="17" spans="1:11" ht="15" customHeight="1">
      <c r="A17" s="428" t="s">
        <v>228</v>
      </c>
      <c r="B17" s="99">
        <f>'2. Cost Inputs'!B48*24*365*'2. Cost Inputs'!B11*'2. Cost Inputs'!D48/B9</f>
        <v>22.0533</v>
      </c>
      <c r="C17" s="99">
        <f t="shared" si="0"/>
        <v>39695.94</v>
      </c>
      <c r="D17" s="100">
        <f t="shared" si="1"/>
        <v>0.14034038014525782</v>
      </c>
      <c r="E17" s="1"/>
      <c r="F17" s="425" t="s">
        <v>229</v>
      </c>
      <c r="G17" s="105">
        <f t="array" ref="G17">ABS(INDEX(Model!$H$1:$AK$37,37,MATCH(COUNTIF(Model!H37:AK37,"&lt;0"),Model!$H$1:$AK$1,0))/INDEX(Model!$H$1:$AK$37,36,MATCH(COUNTIF(Model!H37:AK37,"&lt;0"),Model!$H$1:$AK$1,0)+1))+COUNTIF(Model!H37:AK37,"&lt;0")</f>
        <v>5.2888198274739153</v>
      </c>
      <c r="H17" s="429" t="s">
        <v>106</v>
      </c>
      <c r="I17" s="352"/>
    </row>
    <row r="18" spans="1:11" ht="15" customHeight="1">
      <c r="A18" s="428" t="s">
        <v>230</v>
      </c>
      <c r="B18" s="99">
        <f>SUMPRODUCT('2. Cost Inputs'!B39:B44,'2. Cost Inputs'!D39:D44)</f>
        <v>12.0129</v>
      </c>
      <c r="C18" s="99">
        <f t="shared" si="0"/>
        <v>21623.22</v>
      </c>
      <c r="D18" s="100">
        <f t="shared" si="1"/>
        <v>7.6446380026887931E-2</v>
      </c>
      <c r="E18" s="1"/>
      <c r="F18" s="425" t="s">
        <v>231</v>
      </c>
      <c r="G18" s="106">
        <f>Model!E38</f>
        <v>853895.83758228633</v>
      </c>
      <c r="H18" s="429" t="s">
        <v>232</v>
      </c>
      <c r="I18" s="352"/>
      <c r="K18" s="422"/>
    </row>
    <row r="19" spans="1:11" ht="15" customHeight="1">
      <c r="A19" s="107" t="s">
        <v>233</v>
      </c>
      <c r="B19" s="108">
        <f>C19/B9</f>
        <v>10.593888888888889</v>
      </c>
      <c r="C19" s="109">
        <f>SUMPRODUCT('2. Cost Inputs'!B54:B60,'2. Cost Inputs'!D54:D60)</f>
        <v>19069</v>
      </c>
      <c r="D19" s="110">
        <f t="shared" si="1"/>
        <v>6.7416232213922164E-2</v>
      </c>
      <c r="E19" s="1"/>
      <c r="F19" s="91" t="s">
        <v>234</v>
      </c>
      <c r="G19" s="111" t="s">
        <v>235</v>
      </c>
      <c r="H19" s="90"/>
      <c r="I19" s="352"/>
    </row>
    <row r="20" spans="1:11" ht="15" customHeight="1">
      <c r="A20" s="112" t="s">
        <v>236</v>
      </c>
      <c r="B20" s="430">
        <f>SUM(B12:B19)</f>
        <v>146.6100888888889</v>
      </c>
      <c r="C20" s="430">
        <f>SUM(C12:C18)</f>
        <v>244829.16</v>
      </c>
      <c r="D20" s="113">
        <f t="shared" si="1"/>
        <v>0.86556502718021411</v>
      </c>
      <c r="F20" s="114">
        <v>15</v>
      </c>
      <c r="G20" s="431">
        <f t="array" ref="G20">INDEX(Model!$H$1:$AK$39,39,MATCH(F20,Model!$H$1:$AK$1,0))</f>
        <v>0.21772926360776457</v>
      </c>
      <c r="H20" s="115"/>
      <c r="I20" s="352"/>
    </row>
    <row r="21" spans="1:11" ht="15" customHeight="1">
      <c r="A21" s="424" t="s">
        <v>169</v>
      </c>
      <c r="B21" s="94"/>
      <c r="C21" s="94"/>
      <c r="D21" s="116"/>
      <c r="F21" s="1"/>
      <c r="G21" s="1"/>
      <c r="H21" s="1"/>
      <c r="I21" s="352"/>
    </row>
    <row r="22" spans="1:11" ht="15" customHeight="1">
      <c r="A22" s="96" t="s">
        <v>237</v>
      </c>
      <c r="B22" s="97">
        <f t="shared" ref="B22:B27" si="2">C22/$B$9</f>
        <v>6.2829629629629631</v>
      </c>
      <c r="C22" s="97">
        <f>(SUMPRODUCT('2. Cost Inputs'!B67:B72,'2. Cost Inputs'!D67:D72))/'2. Cost Inputs'!$B$15</f>
        <v>11309.333333333334</v>
      </c>
      <c r="D22" s="98">
        <f t="shared" ref="D22:D29" si="3">C22/$C$29</f>
        <v>3.9982832984668856E-2</v>
      </c>
      <c r="E22" s="1"/>
      <c r="F22" s="12"/>
      <c r="G22" s="1"/>
      <c r="H22" s="1"/>
      <c r="I22" s="352"/>
    </row>
    <row r="23" spans="1:11" ht="15" customHeight="1">
      <c r="A23" s="428" t="str">
        <f>'2. Cost Inputs'!A73</f>
        <v>Supporting Facilities/Infrastructure</v>
      </c>
      <c r="B23" s="99">
        <f t="shared" si="2"/>
        <v>2.5925925925925926</v>
      </c>
      <c r="C23" s="99">
        <f>('2. Cost Inputs'!B73*'2. Cost Inputs'!D73)/'2. Cost Inputs'!$B$15</f>
        <v>4666.666666666667</v>
      </c>
      <c r="D23" s="100">
        <f t="shared" si="3"/>
        <v>1.6498457374008606E-2</v>
      </c>
      <c r="E23" s="117"/>
      <c r="F23" s="1"/>
      <c r="G23" s="1"/>
      <c r="H23" s="1"/>
      <c r="I23" s="352"/>
    </row>
    <row r="24" spans="1:11" ht="15" customHeight="1">
      <c r="A24" s="428" t="str">
        <f>'2. Cost Inputs'!A74</f>
        <v>Land</v>
      </c>
      <c r="B24" s="99">
        <f t="shared" si="2"/>
        <v>5.37037037037037E-3</v>
      </c>
      <c r="C24" s="99">
        <f>('2. Cost Inputs'!B74*'2. Cost Inputs'!D74)/'2. Cost Inputs'!$B$15</f>
        <v>9.6666666666666661</v>
      </c>
      <c r="D24" s="100">
        <f t="shared" si="3"/>
        <v>3.4175375989017824E-5</v>
      </c>
      <c r="F24" s="1"/>
      <c r="G24" s="1"/>
      <c r="H24" s="1"/>
      <c r="I24" s="352"/>
    </row>
    <row r="25" spans="1:11" ht="15" customHeight="1">
      <c r="A25" s="428" t="s">
        <v>238</v>
      </c>
      <c r="B25" s="99">
        <f t="shared" si="2"/>
        <v>4.6493925925925925</v>
      </c>
      <c r="C25" s="99">
        <f>(SUM('2. Cost Inputs'!B78:B80)*SUMPRODUCT('2. Cost Inputs'!B67:B72,'2. Cost Inputs'!D67:D72))/'2. Cost Inputs'!$B$15</f>
        <v>8368.9066666666658</v>
      </c>
      <c r="D25" s="100">
        <f t="shared" si="3"/>
        <v>2.9587296408654949E-2</v>
      </c>
      <c r="E25" s="1"/>
      <c r="F25" s="1"/>
      <c r="G25" s="1"/>
      <c r="H25" s="1"/>
      <c r="I25" s="352"/>
    </row>
    <row r="26" spans="1:11" ht="15" customHeight="1">
      <c r="A26" s="428" t="s">
        <v>239</v>
      </c>
      <c r="B26" s="99">
        <f t="shared" si="2"/>
        <v>4.083925925925926</v>
      </c>
      <c r="C26" s="99">
        <f>(SUM('2. Cost Inputs'!B81:B82)*SUMPRODUCT('2. Cost Inputs'!B67:B72,'2. Cost Inputs'!D67:D72))/'2. Cost Inputs'!$B$15</f>
        <v>7351.0666666666666</v>
      </c>
      <c r="D26" s="100">
        <f t="shared" si="3"/>
        <v>2.5988841440034754E-2</v>
      </c>
      <c r="E26" s="1"/>
      <c r="F26" s="1"/>
      <c r="G26" s="1"/>
      <c r="H26" s="1"/>
      <c r="I26" s="352"/>
    </row>
    <row r="27" spans="1:11" ht="15" customHeight="1">
      <c r="A27" s="107" t="s">
        <v>240</v>
      </c>
      <c r="B27" s="108">
        <f t="shared" si="2"/>
        <v>3.5110708997064419</v>
      </c>
      <c r="C27" s="108">
        <f t="array" ref="C27">('2. Cost Inputs'!B83*'2. Cost Inputs'!B84*(1-0.325)+(1-'2. Cost Inputs'!B83)*(INDEX(Model!$H$1:$AK$39,39,MATCH('2. Cost Inputs'!B15,Model!$H$1:$AK$1,0))))*SUM(C22:C26)</f>
        <v>6319.9276194715958</v>
      </c>
      <c r="D27" s="110">
        <f t="shared" si="3"/>
        <v>2.2343369236429669E-2</v>
      </c>
      <c r="E27" s="1">
        <f>SUM(B23:B26)/B22</f>
        <v>1.8034932798868193</v>
      </c>
      <c r="F27" s="1"/>
      <c r="G27" s="1"/>
      <c r="H27" s="1"/>
      <c r="I27" s="352"/>
    </row>
    <row r="28" spans="1:11" ht="15" customHeight="1">
      <c r="A28" s="112" t="s">
        <v>241</v>
      </c>
      <c r="B28" s="430">
        <f t="shared" ref="B28:C28" si="4">SUM(B22:B27)</f>
        <v>21.125315344150888</v>
      </c>
      <c r="C28" s="430">
        <f t="shared" si="4"/>
        <v>38025.567619471592</v>
      </c>
      <c r="D28" s="113">
        <f t="shared" si="3"/>
        <v>0.13443497281978584</v>
      </c>
      <c r="E28" s="1"/>
      <c r="F28" s="1"/>
      <c r="G28" s="1"/>
      <c r="H28" s="1"/>
      <c r="I28" s="352"/>
    </row>
    <row r="29" spans="1:11" ht="15.75" customHeight="1">
      <c r="A29" s="118" t="s">
        <v>242</v>
      </c>
      <c r="B29" s="119">
        <f t="shared" ref="B29:C29" si="5">B28+B20</f>
        <v>167.73540423303979</v>
      </c>
      <c r="C29" s="119">
        <f t="shared" si="5"/>
        <v>282854.72761947161</v>
      </c>
      <c r="D29" s="120">
        <f t="shared" si="3"/>
        <v>1</v>
      </c>
      <c r="F29" s="1"/>
      <c r="G29" s="1"/>
      <c r="H29" s="1"/>
      <c r="I29" s="352"/>
    </row>
    <row r="30" spans="1:11" ht="15.75" customHeight="1">
      <c r="A30" s="432"/>
      <c r="B30" s="85"/>
      <c r="C30" s="85"/>
      <c r="D30" s="85"/>
      <c r="E30" s="1"/>
      <c r="F30" s="1"/>
      <c r="G30" s="1"/>
      <c r="H30" s="1"/>
      <c r="I30" s="352"/>
    </row>
    <row r="31" spans="1:11" ht="15.75" customHeight="1">
      <c r="A31" s="424" t="s">
        <v>243</v>
      </c>
      <c r="B31" s="94" t="s">
        <v>244</v>
      </c>
      <c r="C31" s="94" t="s">
        <v>245</v>
      </c>
      <c r="D31" s="94" t="s">
        <v>218</v>
      </c>
      <c r="E31" s="1"/>
      <c r="F31" s="1"/>
      <c r="G31" s="1"/>
      <c r="H31" s="1"/>
      <c r="I31" s="352"/>
    </row>
    <row r="32" spans="1:11" ht="15.75" customHeight="1">
      <c r="A32" s="96" t="str">
        <f>'2. Cost Inputs'!A99</f>
        <v>Output 1</v>
      </c>
      <c r="B32" s="97">
        <f>C32/B9</f>
        <v>200</v>
      </c>
      <c r="C32" s="97">
        <f>'2. Cost Inputs'!B92*'2. Cost Inputs'!D92</f>
        <v>360000</v>
      </c>
      <c r="D32" s="121">
        <f t="shared" ref="D32:D36" si="6">C32/$C$36</f>
        <v>0.98333788582354553</v>
      </c>
      <c r="E32" s="1"/>
      <c r="F32" s="1"/>
      <c r="G32" s="1"/>
      <c r="H32" s="1"/>
      <c r="I32" s="352"/>
    </row>
    <row r="33" spans="1:11" ht="15" customHeight="1">
      <c r="A33" s="428" t="str">
        <f>'2. Cost Inputs'!A100</f>
        <v>By-Product 1</v>
      </c>
      <c r="B33" s="99">
        <f>C33/B9</f>
        <v>3.3333333333333335</v>
      </c>
      <c r="C33" s="99">
        <f>'2. Cost Inputs'!B93*'2. Cost Inputs'!D93</f>
        <v>6000</v>
      </c>
      <c r="D33" s="122">
        <f t="shared" si="6"/>
        <v>1.6388964763725759E-2</v>
      </c>
      <c r="E33" s="1"/>
      <c r="F33" s="1"/>
      <c r="G33" s="1"/>
      <c r="H33" s="1"/>
      <c r="I33" s="352"/>
    </row>
    <row r="34" spans="1:11" ht="15" customHeight="1">
      <c r="A34" s="428" t="str">
        <f>'2. Cost Inputs'!A101</f>
        <v>By-Product 2</v>
      </c>
      <c r="B34" s="99">
        <f>C34/B9</f>
        <v>5.5555555555555552E-2</v>
      </c>
      <c r="C34" s="99">
        <f>'2. Cost Inputs'!B94*'2. Cost Inputs'!D94</f>
        <v>100</v>
      </c>
      <c r="D34" s="122">
        <f t="shared" si="6"/>
        <v>2.7314941272876261E-4</v>
      </c>
      <c r="E34" s="1"/>
      <c r="F34" s="1"/>
      <c r="G34" s="1"/>
      <c r="H34" s="1"/>
      <c r="I34" s="352"/>
    </row>
    <row r="35" spans="1:11" ht="15" customHeight="1">
      <c r="A35" s="428" t="str">
        <f>'2. Cost Inputs'!A102</f>
        <v>By-Product 3</v>
      </c>
      <c r="B35" s="99">
        <f>C35/'2. Cost Inputs'!$B$10</f>
        <v>0</v>
      </c>
      <c r="C35" s="99">
        <f>'2. Cost Inputs'!B95*'2. Cost Inputs'!D95</f>
        <v>0</v>
      </c>
      <c r="D35" s="122">
        <f t="shared" si="6"/>
        <v>0</v>
      </c>
      <c r="E35" s="1"/>
      <c r="F35" s="1"/>
      <c r="G35" s="1"/>
      <c r="H35" s="1"/>
      <c r="I35" s="352"/>
    </row>
    <row r="36" spans="1:11" ht="15.75" customHeight="1">
      <c r="A36" s="123" t="s">
        <v>246</v>
      </c>
      <c r="B36" s="124">
        <f t="shared" ref="B36:C36" si="7">SUM(B32:B35)</f>
        <v>203.38888888888889</v>
      </c>
      <c r="C36" s="124">
        <f t="shared" si="7"/>
        <v>366100</v>
      </c>
      <c r="D36" s="125">
        <f t="shared" si="6"/>
        <v>1</v>
      </c>
      <c r="E36" s="1"/>
      <c r="F36" s="1"/>
      <c r="G36" s="1"/>
      <c r="H36" s="1"/>
      <c r="I36" s="352"/>
    </row>
    <row r="37" spans="1:11" ht="15.75" customHeight="1">
      <c r="A37" s="433"/>
      <c r="D37" s="8"/>
      <c r="E37" s="8"/>
      <c r="F37" s="8"/>
      <c r="G37" s="8"/>
      <c r="H37" s="8"/>
      <c r="I37" s="360"/>
    </row>
    <row r="38" spans="1:11" ht="15.75" customHeight="1">
      <c r="A38" s="318" t="s">
        <v>247</v>
      </c>
      <c r="B38" s="370"/>
      <c r="C38" s="370"/>
      <c r="D38" s="370"/>
      <c r="E38" s="370"/>
      <c r="F38" s="370"/>
      <c r="G38" s="370"/>
      <c r="H38" s="370"/>
      <c r="I38" s="350"/>
    </row>
    <row r="39" spans="1:11" ht="15.75" customHeight="1">
      <c r="A39" s="348"/>
      <c r="B39" s="370"/>
      <c r="C39" s="370"/>
      <c r="D39" s="370"/>
      <c r="E39" s="370"/>
      <c r="F39" s="370"/>
      <c r="G39" s="370"/>
      <c r="H39" s="370"/>
      <c r="I39" s="350"/>
    </row>
    <row r="40" spans="1:11" ht="15.75" customHeight="1">
      <c r="A40" s="433"/>
      <c r="I40" s="434"/>
      <c r="K40" s="126"/>
    </row>
    <row r="41" spans="1:11" ht="15.75" customHeight="1">
      <c r="A41" s="127" t="s">
        <v>248</v>
      </c>
      <c r="B41" s="128"/>
      <c r="C41" s="128"/>
      <c r="D41" s="128"/>
      <c r="E41" s="128"/>
      <c r="F41" s="129"/>
      <c r="I41" s="434"/>
    </row>
    <row r="42" spans="1:11" ht="15.75" customHeight="1">
      <c r="A42" s="130"/>
      <c r="B42" s="435" t="s">
        <v>249</v>
      </c>
      <c r="C42" s="435" t="s">
        <v>250</v>
      </c>
      <c r="D42" s="435" t="s">
        <v>251</v>
      </c>
      <c r="E42" s="435" t="s">
        <v>252</v>
      </c>
      <c r="F42" s="131" t="s">
        <v>123</v>
      </c>
      <c r="I42" s="434"/>
    </row>
    <row r="43" spans="1:11" ht="15.75" customHeight="1">
      <c r="A43" s="427" t="s">
        <v>253</v>
      </c>
      <c r="B43" s="132">
        <f t="shared" ref="B43:B44" si="8">C43*0.8</f>
        <v>0.72000000000000008</v>
      </c>
      <c r="C43" s="133">
        <f>'2. Cost Inputs'!$B$11</f>
        <v>0.9</v>
      </c>
      <c r="D43" s="132">
        <f t="shared" ref="D43:D44" si="9">C43*1.2</f>
        <v>1.08</v>
      </c>
      <c r="E43" s="85" t="str">
        <f>'2. Cost Inputs'!C11</f>
        <v>percentage</v>
      </c>
      <c r="F43" s="429"/>
      <c r="I43" s="434"/>
    </row>
    <row r="44" spans="1:11" ht="15.75" customHeight="1">
      <c r="A44" s="427" t="s">
        <v>105</v>
      </c>
      <c r="B44" s="132">
        <f t="shared" si="8"/>
        <v>12</v>
      </c>
      <c r="C44" s="134">
        <f>'2. Cost Inputs'!$B$15</f>
        <v>15</v>
      </c>
      <c r="D44" s="132">
        <f t="shared" si="9"/>
        <v>18</v>
      </c>
      <c r="E44" s="85" t="str">
        <f>'2. Cost Inputs'!C15</f>
        <v>years</v>
      </c>
      <c r="F44" s="429"/>
      <c r="I44" s="434"/>
    </row>
    <row r="45" spans="1:11" ht="15.75" customHeight="1">
      <c r="A45" s="436" t="str">
        <f>$A$12&amp;" Price"</f>
        <v>Raw material 1 Price</v>
      </c>
      <c r="B45" s="132">
        <f t="shared" ref="B45:B47" si="10">C45*1.3</f>
        <v>6.5</v>
      </c>
      <c r="C45" s="134">
        <f>'2. Cost Inputs'!$D$24</f>
        <v>5</v>
      </c>
      <c r="D45" s="132">
        <f t="shared" ref="D45:D47" si="11">C45*0.9</f>
        <v>4.5</v>
      </c>
      <c r="E45" s="85" t="s">
        <v>254</v>
      </c>
      <c r="F45" s="429"/>
      <c r="I45" s="434"/>
    </row>
    <row r="46" spans="1:11" ht="15.75" customHeight="1">
      <c r="A46" s="436" t="str">
        <f>$A$13&amp;" Price"</f>
        <v>Raw material 2 Price</v>
      </c>
      <c r="B46" s="132">
        <f t="shared" si="10"/>
        <v>6.5</v>
      </c>
      <c r="C46" s="134">
        <f>'2. Cost Inputs'!$D$25</f>
        <v>5</v>
      </c>
      <c r="D46" s="132">
        <f t="shared" si="11"/>
        <v>4.5</v>
      </c>
      <c r="E46" s="85" t="s">
        <v>254</v>
      </c>
      <c r="F46" s="429"/>
      <c r="I46" s="434"/>
    </row>
    <row r="47" spans="1:11" ht="15.75" customHeight="1">
      <c r="A47" s="436" t="str">
        <f>$A$14&amp;" Price"</f>
        <v>Raw material 3 Price</v>
      </c>
      <c r="B47" s="132">
        <f t="shared" si="10"/>
        <v>6.5</v>
      </c>
      <c r="C47" s="134">
        <f>'2. Cost Inputs'!$D$26</f>
        <v>5</v>
      </c>
      <c r="D47" s="132">
        <f t="shared" si="11"/>
        <v>4.5</v>
      </c>
      <c r="E47" s="85" t="s">
        <v>254</v>
      </c>
      <c r="F47" s="429"/>
      <c r="I47" s="434"/>
    </row>
    <row r="48" spans="1:11" ht="15.75" customHeight="1">
      <c r="A48" s="436" t="str">
        <f>$A$16 &amp;" Cost"</f>
        <v>Energy Cost</v>
      </c>
      <c r="B48" s="132">
        <f>C48*2</f>
        <v>0.20399999999999999</v>
      </c>
      <c r="C48" s="135">
        <f>'2. Cost Inputs'!$D$33</f>
        <v>0.10199999999999999</v>
      </c>
      <c r="D48" s="132">
        <f>C48*0.5</f>
        <v>5.0999999999999997E-2</v>
      </c>
      <c r="E48" s="85" t="s">
        <v>254</v>
      </c>
      <c r="F48" s="429"/>
      <c r="I48" s="434"/>
    </row>
    <row r="49" spans="1:9" ht="15.75" customHeight="1">
      <c r="A49" s="436" t="s">
        <v>255</v>
      </c>
      <c r="B49" s="132">
        <f>C49*2.5</f>
        <v>500</v>
      </c>
      <c r="C49" s="135">
        <f>'2. Cost Inputs'!$B$33</f>
        <v>200</v>
      </c>
      <c r="D49" s="132">
        <f>C49*0.4</f>
        <v>80</v>
      </c>
      <c r="E49" s="85" t="str">
        <f>'2. Cost Inputs'!C33</f>
        <v>KwH/ ton</v>
      </c>
      <c r="F49" s="429"/>
      <c r="I49" s="434"/>
    </row>
    <row r="50" spans="1:9" ht="15.75" customHeight="1">
      <c r="A50" s="436" t="str">
        <f>'2. Cost Inputs'!$A$40</f>
        <v>Non-consumables (e.g. Catalysts)</v>
      </c>
      <c r="B50" s="132">
        <f t="shared" ref="B50:B52" si="12">C50*2</f>
        <v>6</v>
      </c>
      <c r="C50" s="134">
        <f>'2. Cost Inputs'!$D$40</f>
        <v>3</v>
      </c>
      <c r="D50" s="132">
        <f t="shared" ref="D50:D56" si="13">C50*0.8</f>
        <v>2.4000000000000004</v>
      </c>
      <c r="E50" s="85" t="s">
        <v>254</v>
      </c>
      <c r="F50" s="429"/>
      <c r="I50" s="434"/>
    </row>
    <row r="51" spans="1:9" ht="15.75" customHeight="1">
      <c r="A51" s="436" t="str">
        <f>'2. Cost Inputs'!$A$48</f>
        <v>Direct labor (shift positions)</v>
      </c>
      <c r="B51" s="132">
        <f t="shared" si="12"/>
        <v>1</v>
      </c>
      <c r="C51" s="136">
        <f>'2. Cost Inputs'!$B$48</f>
        <v>0.5</v>
      </c>
      <c r="D51" s="132">
        <f t="shared" si="13"/>
        <v>0.4</v>
      </c>
      <c r="E51" s="85" t="s">
        <v>254</v>
      </c>
      <c r="F51" s="429"/>
      <c r="I51" s="434"/>
    </row>
    <row r="52" spans="1:9" ht="15.75" customHeight="1">
      <c r="A52" s="436" t="str">
        <f>$A$19</f>
        <v>Fixed Operating Expenses</v>
      </c>
      <c r="B52" s="137">
        <f t="shared" si="12"/>
        <v>21.187777777777779</v>
      </c>
      <c r="C52" s="134">
        <f>$B$19</f>
        <v>10.593888888888889</v>
      </c>
      <c r="D52" s="137">
        <f t="shared" si="13"/>
        <v>8.4751111111111115</v>
      </c>
      <c r="E52" s="85" t="s">
        <v>254</v>
      </c>
      <c r="F52" s="429"/>
      <c r="I52" s="434"/>
    </row>
    <row r="53" spans="1:9" ht="15.75" customHeight="1">
      <c r="A53" s="436" t="str">
        <f>'2. Cost Inputs'!$A$67&amp;" Price"</f>
        <v>Process Equipment 1 Price</v>
      </c>
      <c r="B53" s="132">
        <f t="shared" ref="B53:B56" si="14">C53*1.5</f>
        <v>4.5</v>
      </c>
      <c r="C53" s="134">
        <f>'2. Cost Inputs'!$D$67</f>
        <v>3</v>
      </c>
      <c r="D53" s="132">
        <f t="shared" si="13"/>
        <v>2.4000000000000004</v>
      </c>
      <c r="E53" s="85" t="s">
        <v>254</v>
      </c>
      <c r="F53" s="429"/>
      <c r="I53" s="434"/>
    </row>
    <row r="54" spans="1:9" ht="15.75" customHeight="1">
      <c r="A54" s="436" t="str">
        <f>'2. Cost Inputs'!$A$68&amp;" Price"</f>
        <v>Process Equipment 2 Price</v>
      </c>
      <c r="B54" s="132">
        <f t="shared" si="14"/>
        <v>10.5</v>
      </c>
      <c r="C54" s="134">
        <f>'2. Cost Inputs'!$D$68</f>
        <v>7</v>
      </c>
      <c r="D54" s="132">
        <f t="shared" si="13"/>
        <v>5.6000000000000005</v>
      </c>
      <c r="E54" s="85" t="s">
        <v>254</v>
      </c>
      <c r="F54" s="429"/>
      <c r="I54" s="434"/>
    </row>
    <row r="55" spans="1:9" ht="15.75" customHeight="1">
      <c r="A55" s="436" t="str">
        <f>'2. Cost Inputs'!$A$69&amp;" Price"</f>
        <v>Process Equipment 3 Price</v>
      </c>
      <c r="B55" s="138">
        <f t="shared" si="14"/>
        <v>64.5</v>
      </c>
      <c r="C55" s="134">
        <f>'2. Cost Inputs'!$D$69</f>
        <v>43</v>
      </c>
      <c r="D55" s="132">
        <f t="shared" si="13"/>
        <v>34.4</v>
      </c>
      <c r="E55" s="85" t="s">
        <v>254</v>
      </c>
      <c r="F55" s="429"/>
      <c r="I55" s="434"/>
    </row>
    <row r="56" spans="1:9" ht="15.75" customHeight="1">
      <c r="A56" s="114" t="s">
        <v>256</v>
      </c>
      <c r="B56" s="138">
        <f t="shared" si="14"/>
        <v>22.26352857178189</v>
      </c>
      <c r="C56" s="437">
        <f>B28-B22</f>
        <v>14.842352381187926</v>
      </c>
      <c r="D56" s="137">
        <f t="shared" si="13"/>
        <v>11.873881904950341</v>
      </c>
      <c r="E56" s="85" t="s">
        <v>254</v>
      </c>
      <c r="F56" s="115"/>
      <c r="I56" s="434"/>
    </row>
    <row r="57" spans="1:9" ht="15.75" customHeight="1">
      <c r="A57" s="139"/>
      <c r="B57" s="140"/>
      <c r="C57" s="141"/>
      <c r="D57" s="128"/>
      <c r="E57" s="128"/>
      <c r="F57" s="128"/>
      <c r="I57" s="434"/>
    </row>
    <row r="58" spans="1:9" ht="15.75" customHeight="1">
      <c r="A58" s="433"/>
      <c r="I58" s="434"/>
    </row>
    <row r="59" spans="1:9" ht="15.75" customHeight="1">
      <c r="A59" s="433"/>
      <c r="B59" s="99"/>
      <c r="I59" s="434"/>
    </row>
    <row r="60" spans="1:9" ht="15.75" customHeight="1">
      <c r="A60" s="433"/>
      <c r="B60" s="99"/>
      <c r="I60" s="434"/>
    </row>
    <row r="61" spans="1:9" ht="15.75" customHeight="1">
      <c r="A61" s="433"/>
      <c r="B61" s="99"/>
      <c r="I61" s="434"/>
    </row>
    <row r="62" spans="1:9" ht="15.75" customHeight="1">
      <c r="A62" s="433"/>
      <c r="B62" s="142"/>
      <c r="I62" s="434"/>
    </row>
    <row r="63" spans="1:9" ht="15.75" customHeight="1">
      <c r="A63" s="433"/>
      <c r="I63" s="434"/>
    </row>
    <row r="64" spans="1:9" ht="15.75" customHeight="1">
      <c r="A64" s="433"/>
      <c r="I64" s="434"/>
    </row>
    <row r="65" spans="1:34" ht="15.75" customHeight="1">
      <c r="A65" s="433"/>
      <c r="B65" s="51"/>
      <c r="I65" s="434"/>
    </row>
    <row r="66" spans="1:34" ht="15.75" customHeight="1">
      <c r="A66" s="433"/>
      <c r="I66" s="434"/>
    </row>
    <row r="67" spans="1:34" ht="15.75" customHeight="1">
      <c r="A67" s="433"/>
      <c r="I67" s="434"/>
    </row>
    <row r="68" spans="1:34" ht="15.75" customHeight="1">
      <c r="A68" s="433"/>
      <c r="I68" s="434"/>
    </row>
    <row r="69" spans="1:34" ht="15.75" customHeight="1">
      <c r="A69" s="433"/>
      <c r="I69" s="434"/>
    </row>
    <row r="70" spans="1:34" ht="15.75" customHeight="1">
      <c r="A70" s="433"/>
      <c r="I70" s="434"/>
    </row>
    <row r="71" spans="1:34" ht="15.75" customHeight="1">
      <c r="A71" s="433"/>
      <c r="F71" s="438" t="s">
        <v>253</v>
      </c>
      <c r="G71" s="143" t="s">
        <v>257</v>
      </c>
      <c r="H71" s="144">
        <v>0.1</v>
      </c>
      <c r="I71" s="434"/>
    </row>
    <row r="72" spans="1:34" ht="15.75" customHeight="1">
      <c r="A72" s="145"/>
      <c r="B72" s="145"/>
      <c r="C72" s="145"/>
      <c r="D72" s="145"/>
      <c r="E72" s="145"/>
      <c r="F72" s="145"/>
      <c r="G72" s="145"/>
      <c r="H72" s="145"/>
      <c r="I72" s="146"/>
    </row>
    <row r="73" spans="1:34" ht="15.75" customHeight="1"/>
    <row r="74" spans="1:34" ht="15.75" customHeight="1"/>
    <row r="75" spans="1:34" ht="15.75" customHeight="1" outlineLevel="1">
      <c r="C75" s="147">
        <f t="array" ref="C75">(((SUMPRODUCT('2.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167.73540423303979</v>
      </c>
    </row>
    <row r="76" spans="1:34" ht="15.75" customHeight="1" outlineLevel="1">
      <c r="C76" s="147" t="s">
        <v>251</v>
      </c>
      <c r="D76" s="147" t="s">
        <v>249</v>
      </c>
      <c r="E76" s="147" t="str">
        <f>A77</f>
        <v>Annual Utilisation</v>
      </c>
      <c r="F76" s="147" t="str">
        <f>"Total Cost based on "&amp;E76</f>
        <v>Total Cost based on Annual Utilisation</v>
      </c>
      <c r="G76" s="147" t="str">
        <f>A78</f>
        <v>Plant Lifetime</v>
      </c>
      <c r="H76" s="147" t="str">
        <f>"Total Cost based on "&amp;G76</f>
        <v>Total Cost based on Plant Lifetime</v>
      </c>
      <c r="I76" s="147" t="str">
        <f>A79</f>
        <v>Raw material 1 Price</v>
      </c>
      <c r="J76" s="147" t="str">
        <f>"Total Cost based on "&amp;I76</f>
        <v>Total Cost based on Raw material 1 Price</v>
      </c>
      <c r="K76" s="147" t="str">
        <f>A80</f>
        <v>Raw material 2 Price</v>
      </c>
      <c r="L76" s="147" t="str">
        <f>"Total Cost based on "&amp;K76</f>
        <v>Total Cost based on Raw material 2 Price</v>
      </c>
      <c r="M76" s="147" t="str">
        <f>A81</f>
        <v>Raw material 3 Price</v>
      </c>
      <c r="N76" s="147" t="str">
        <f>"Total Cost based on "&amp;M76</f>
        <v>Total Cost based on Raw material 3 Price</v>
      </c>
      <c r="O76" s="147" t="str">
        <f>A82</f>
        <v>Energy Cost</v>
      </c>
      <c r="P76" s="147" t="str">
        <f>"Total Cost based on "&amp;O76</f>
        <v>Total Cost based on Energy Cost</v>
      </c>
      <c r="Q76" s="147" t="str">
        <f>A83</f>
        <v>Energy Use</v>
      </c>
      <c r="R76" s="147" t="str">
        <f>"Total Cost based on "&amp;Q76</f>
        <v>Total Cost based on Energy Use</v>
      </c>
      <c r="S76" s="147" t="str">
        <f>A84</f>
        <v>Non-consumables (e.g. Catalysts)</v>
      </c>
      <c r="T76" s="147" t="str">
        <f>"Total Cost based on "&amp;S76</f>
        <v>Total Cost based on Non-consumables (e.g. Catalysts)</v>
      </c>
      <c r="U76" s="147" t="str">
        <f>A85</f>
        <v>Direct labor (shift positions)</v>
      </c>
      <c r="V76" s="147" t="str">
        <f>"Total Cost based on "&amp;U76</f>
        <v>Total Cost based on Direct labor (shift positions)</v>
      </c>
      <c r="W76" s="147" t="str">
        <f>A86</f>
        <v>Fixed Operating Expenses</v>
      </c>
      <c r="X76" s="147" t="str">
        <f>"Total Cost based on "&amp;W76</f>
        <v>Total Cost based on Fixed Operating Expenses</v>
      </c>
      <c r="Y76" s="147" t="str">
        <f>A87</f>
        <v>Process Equipment 1 Price</v>
      </c>
      <c r="Z76" s="147" t="str">
        <f>"Total Cost based on "&amp;Y76</f>
        <v>Total Cost based on Process Equipment 1 Price</v>
      </c>
      <c r="AA76" s="147" t="str">
        <f>A88</f>
        <v>Process Equipment 2 Price</v>
      </c>
      <c r="AB76" s="147" t="str">
        <f>"Total Cost based on "&amp;AA76</f>
        <v>Total Cost based on Process Equipment 2 Price</v>
      </c>
      <c r="AC76" s="147" t="str">
        <f>A89</f>
        <v>Process Equipment 3 Price</v>
      </c>
      <c r="AD76" s="147" t="str">
        <f>"Total Cost based on "&amp;AC76</f>
        <v>Total Cost based on Process Equipment 3 Price</v>
      </c>
      <c r="AE76" s="147" t="str">
        <f>A90</f>
        <v>Other Capex</v>
      </c>
      <c r="AF76" s="147" t="str">
        <f>"Total Cost based on "&amp;AE76</f>
        <v>Total Cost based on Other Capex</v>
      </c>
      <c r="AG76" s="147" t="str">
        <f t="shared" ref="AG76:AG91" si="15">INDEX(E76:AF76,1,MATCH($F$71,$E$76:$AF$76,0))</f>
        <v>Annual Utilisation</v>
      </c>
      <c r="AH76" s="147" t="str">
        <f>"Total Cost based on "&amp;AG76</f>
        <v>Total Cost based on Annual Utilisation</v>
      </c>
    </row>
    <row r="77" spans="1:34" ht="15.75" customHeight="1" outlineLevel="1">
      <c r="A77" s="147" t="str">
        <f t="shared" ref="A77:A90" si="16">A43</f>
        <v>Annual Utilisation</v>
      </c>
      <c r="B77" s="148">
        <f t="shared" ref="B77:B89" si="17">C$75-C77</f>
        <v>5.2865340388399886</v>
      </c>
      <c r="C77" s="148">
        <f t="array" ref="C77">(((SUMPRODUCT('2. Cost Inputs'!B67:B72,'2. Cost Inputs'!D67:D72))/'2. Cost Inputs'!$B$15)/(B8*D43)+
((('2. Cost Inputs'!B73*'2. Cost Inputs'!D73)+('2. Cost Inputs'!B74*'2. Cost Inputs'!D74)+(SUM('2. Cost Inputs'!B78:B80)*SUMPRODUCT('2. Cost Inputs'!B67:B72,'2. Cost Inputs'!D67:D72))+(SUM('2. Cost Inputs'!B81:B82)*SUMPRODUCT('2. Cost Inputs'!B67:B72,'2. Cost Inputs'!D67:D72)))/'2. Cost Inputs'!B15/((B8*D43)))+
(('2. Cost Inputs'!B83*'2. Cost Inputs'!B84*(1-0.325)+(1-'2. Cost Inputs'!B83)*(INDEX(Model!$H$1:$AK$39,39,MATCH('2. Cost Inputs'!B15,Model!$H$1:$AK$1,0))))*SUM(C22:C26))/(B8*D43))+
(('2. Cost Inputs'!B24*'2. Cost Inputs'!D24)+('2. Cost Inputs'!B25*'2. Cost Inputs'!D25)+('2. Cost Inputs'!B26*'2. Cost Inputs'!D26)+(SUMPRODUCT('2. Cost Inputs'!B27:B29,'2. Cost Inputs'!D27:D29))+
(SUMPRODUCT('2. Cost Inputs'!B33:B35,'2. Cost Inputs'!D33:D35))+
('2. Cost Inputs'!B48*24*365*D43*'2. Cost Inputs'!D48/(B8*D43))+
(SUMPRODUCT('2. Cost Inputs'!B39:B44,'2. Cost Inputs'!D39:D44))+
(SUMPRODUCT('2. Cost Inputs'!B54:B60,'2. Cost Inputs'!D54:D60)/(B8*D43)))</f>
        <v>162.4488701941998</v>
      </c>
      <c r="D77" s="148">
        <f t="array" ref="D77">(((SUMPRODUCT('2. Cost Inputs'!B67:B72,'2. Cost Inputs'!D67:D72))/'2. Cost Inputs'!$B$15)/(B8*B43)+
((('2. Cost Inputs'!B73*'2. Cost Inputs'!D73)+('2. Cost Inputs'!B74*'2. Cost Inputs'!D74)+(SUM('2. Cost Inputs'!B78:B80)*SUMPRODUCT('2. Cost Inputs'!B67:B72,'2. Cost Inputs'!D67:D72))+(SUM('2. Cost Inputs'!B81:B82)*SUMPRODUCT('2. Cost Inputs'!B67:B72,'2. Cost Inputs'!D67:D72)))/'2. Cost Inputs'!B15/((B8*B43)))+
(('2. Cost Inputs'!B83*'2. Cost Inputs'!B84*(1-0.325)+(1-'2. Cost Inputs'!B83)*(INDEX(Model!$H$1:$AK$39,39,MATCH('2. Cost Inputs'!B15,Model!$H$1:$AK$1,0))))*SUM(C22:C26))/(B8*B43))+
(('2. Cost Inputs'!B24*'2. Cost Inputs'!D24)+('2. Cost Inputs'!B25*'2. Cost Inputs'!D25)+('2. Cost Inputs'!B26*'2. Cost Inputs'!D26)+(SUMPRODUCT('2. Cost Inputs'!B27:B29,'2. Cost Inputs'!D27:D29))+
(SUMPRODUCT('2. Cost Inputs'!B33:B35,'2. Cost Inputs'!D33:D35))+
('2. Cost Inputs'!B48*24*365*B43*'2. Cost Inputs'!D48/(B8*B43))+
(SUMPRODUCT('2. Cost Inputs'!B39:B44,'2. Cost Inputs'!D39:D44))+
(SUMPRODUCT('2. Cost Inputs'!B54:B60,'2. Cost Inputs'!D54:D60)/(B8*B43)))</f>
        <v>175.66520529129971</v>
      </c>
      <c r="E77" s="149">
        <f>E78-0.05</f>
        <v>5.0000000000000142E-2</v>
      </c>
      <c r="F77" s="147">
        <f t="array" ref="F77">(((SUMPRODUCT('2. Cost Inputs'!$B$67:$B$72,'2. Cost Inputs'!$D$67:$D$72))/'2. Cost Inputs'!$B$15)/($B$8*E77)+
((('2. Cost Inputs'!$B$73*'2. Cost Inputs'!$D$73)+('2. Cost Inputs'!$B$74*'2. Cost Inputs'!$D$74)+(SUM('2. Cost Inputs'!$B$78:$B$80)*SUMPRODUCT('2. Cost Inputs'!$B$67:$B$72,'2. Cost Inputs'!$D$67:$D$72))+(SUM('2. Cost Inputs'!$B$81:$B$82)*SUMPRODUCT('2. Cost Inputs'!$B$67:$B$72,'2. Cost Inputs'!$D$67:$D$72)))/'2. Cost Inputs'!$B$15/(($B$8*E77)))+
(('2. Cost Inputs'!$B$83*'2. Cost Inputs'!$B$84*(1-0.325)+(1-'2. Cost Inputs'!$B$83)*(INDEX(Model!$H$1:$AK$39,39,MATCH('2. Cost Inputs'!$B$15,Model!$H$1:$AK$1,0))))*SUM($C$22:$C$26))/($B$8*E77))+
(('2. Cost Inputs'!$B$24*'2. Cost Inputs'!$D$24)+('2. Cost Inputs'!$B$25*'2. Cost Inputs'!$D$25)+('2. Cost Inputs'!$B$26*'2. Cost Inputs'!$D$26)+(SUMPRODUCT('2. Cost Inputs'!$B$27:$B$29,'2. Cost Inputs'!$D$27:$D$29))+
(SUMPRODUCT('2. Cost Inputs'!$B$33:$B$35,'2. Cost Inputs'!$D$33:$D$35))+
('2. Cost Inputs'!$B$48*24*365*E77*'2. Cost Inputs'!$D$48/($B$9*E77))+
(SUMPRODUCT('2. Cost Inputs'!$B$39:$B$44,'2. Cost Inputs'!$D$39:$D$44))+
(SUMPRODUCT('2. Cost Inputs'!$B$54:$B$60,'2. Cost Inputs'!$D$54:$D$60)/($B$8*E77)))</f>
        <v>709.41224286138095</v>
      </c>
      <c r="G77" s="150">
        <v>1</v>
      </c>
      <c r="H77" s="148">
        <f t="array" ref="H77">(((SUMPRODUCT('2. Cost Inputs'!$B$67:$B$72,'2. Cost Inputs'!$D$67:$D$72))/G77)/($B$8*'2. Cost Inputs'!$B$11)+
((('2. Cost Inputs'!$B$73*'2. Cost Inputs'!$D$73)+('2. Cost Inputs'!$B$74*'2. Cost Inputs'!$D$74)+(SUM('2. Cost Inputs'!$B$78:$B$80)*SUMPRODUCT('2. Cost Inputs'!$B$67:$B$72,'2. Cost Inputs'!$D$67:$D$72))+(SUM('2. Cost Inputs'!$B$81:$B$82)*SUMPRODUCT('2. Cost Inputs'!$B$67:$B$72,'2. Cost Inputs'!$D$67:$D$72)))/G77/(($B$8*'2. Cost Inputs'!$B$11)))+
(('2. Cost Inputs'!$B$83*'2. Cost Inputs'!$B$84*(1-0.325)+(1-'2. Cost Inputs'!$B$83)*(INDEX(Model!H$1:AK$39,39,MATCH(G77,Model!H$1:AK$1,0))))*SUM($C$22:$C$26))/($B$8*'2.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410.8832036305555</v>
      </c>
      <c r="I77" s="148">
        <f t="shared" ref="I77:I83" si="18">IF(I78*(1-$H$71)&lt;0,0,I78*(1-$H$71))</f>
        <v>2.3914845000000002</v>
      </c>
      <c r="J77" s="148">
        <f t="array" ref="J7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Inputs'!$B$24*I77)+('2.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154.69282673303979</v>
      </c>
      <c r="K77" s="148">
        <f t="shared" ref="K77:K83" si="19">IF(K78*(1-$H$71)&lt;0,0,K78*(1-$H$71))</f>
        <v>2.3914845000000002</v>
      </c>
      <c r="L77" s="148">
        <f t="array" ref="L7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Inputs'!$B$25*K77)+('2.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165.12688873303981</v>
      </c>
      <c r="M77" s="148">
        <f t="shared" ref="M77:M83" si="20">IF(M78*(1-$H$71)&lt;0,0,M78*(1-$H$71))</f>
        <v>2.3914845000000002</v>
      </c>
      <c r="N77" s="148">
        <f t="array" ref="N7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Inputs'!$B$26*M77)+(SUMPRODUCT('2.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162.5183732330398</v>
      </c>
      <c r="O77" s="148">
        <f t="shared" ref="O77:O83" si="21">IF(O78*(1-$H$71)&lt;0,0,O78*(1-$H$71))</f>
        <v>4.8786283800000017E-2</v>
      </c>
      <c r="P77" s="148">
        <f t="array" ref="P7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Inputs'!$B$33*O77)+
(SUMPRODUCT('2. Cost Inputs'!$B$34:$B$35,'2. Cost Inputs'!$D$34:$D$35))+
('2. Cost Inputs'!$B$48*24*365*'2. Cost Inputs'!$B$11*'2. Cost Inputs'!$D$48/($B$8*'2. Cost Inputs'!$B$11))+
(SUMPRODUCT('2. Cost Inputs'!$B$39:$B$44,'2. Cost Inputs'!$D$39:$D$44))+
(SUMPRODUCT('2. Cost Inputs'!$B$54:$B$60,'2. Cost Inputs'!$D$54:$D$60)/($B$8*'2. Cost Inputs'!$B$11)))</f>
        <v>157.0926609930398</v>
      </c>
      <c r="Q77" s="151">
        <f t="shared" ref="Q77:Q83" si="22">IF(Q78*(1-$H$71)&lt;0,0,Q78*(1-$H$71))</f>
        <v>95.659380000000027</v>
      </c>
      <c r="R77" s="148">
        <f t="array" ref="R7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Inputs'!$D$33*Q77)+
(SUMPRODUCT('2. Cost Inputs'!$B$34:$B$35,'2. Cost Inputs'!$D$34:$D$35))+
('2. Cost Inputs'!$B$48*24*365*'2. Cost Inputs'!$B$11*'2. Cost Inputs'!$D$48/($B$8*'2. Cost Inputs'!$B$11))+
(SUMPRODUCT('2. Cost Inputs'!$B$39:$B$44,'2. Cost Inputs'!$D$39:$D$44))+
(SUMPRODUCT('2. Cost Inputs'!$B$54:$B$60,'2. Cost Inputs'!$D$54:$D$60)/($B$8*'2. Cost Inputs'!$B$11)))</f>
        <v>157.0926609930398</v>
      </c>
      <c r="S77" s="148">
        <f t="shared" ref="S77:S83" si="23">IF(S78*(1-$H$71)&lt;0,0,S78*(1-$H$71))</f>
        <v>1.4348907000000004</v>
      </c>
      <c r="T77" s="152">
        <f t="array" ref="T7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Inputs'!$B$40:$B$44*S77))+ (SUMPRODUCT('2. Cost Inputs'!$B$41:$B$44,'2. Cost Inputs'!$D$41:$D$44))+ (SUMPRODUCT('2. Cost Inputs'!$B$54:$B$60,'2. Cost Inputs'!$D$54:$D$60)/($B$8*'2. Cost Inputs'!$B$11))</f>
        <v>161.47496703303977</v>
      </c>
      <c r="U77" s="148">
        <f t="shared" ref="U77:U83" si="24">IF(U78*(1-$H$71)&lt;0,0,U78*(1-$H$71))</f>
        <v>0.23914845000000007</v>
      </c>
      <c r="V77" s="148">
        <f t="array" ref="V7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(U77*24*365*'2. Cost Inputs'!$B$11*'2. Cost Inputs'!$D$48/($B$8*'2. Cost Inputs'!$B$11))+
(SUMPRODUCT('2. Cost Inputs'!$B$39:$B$44,'2. Cost Inputs'!$D$39:$D$44))+
(SUMPRODUCT('2. Cost Inputs'!$B$54:$B$60,'2. Cost Inputs'!$D$54:$D$60)/($B$8*'2. Cost Inputs'!$B$11)))</f>
        <v>156.23012925780978</v>
      </c>
      <c r="W77" s="148">
        <f t="shared" ref="W77:W83" si="25">IF(W78*(1-$H$71)&lt;0,0,W78*(1-$H$71))</f>
        <v>5.0670242145000008</v>
      </c>
      <c r="X77" s="148">
        <f t="array" ref="X7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W77)</f>
        <v>162.2085395586509</v>
      </c>
      <c r="Y77" s="148">
        <f t="shared" ref="Y77:Y83" si="26">IF(Y78*(1-$H$71)&lt;0,0,Y78*(1-$H$71))</f>
        <v>1.4348907000000004</v>
      </c>
      <c r="Z77" s="148">
        <f t="array" ref="Z77">(((('2. Cost Inputs'!$B$67*Y77)+('2.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167.61947021081755</v>
      </c>
      <c r="AA77" s="148">
        <f t="shared" ref="AA77:AA83" si="27">IF(AA78*(1-$H$71)&lt;0,0,AA78*(1-$H$71))</f>
        <v>3.3480783000000001</v>
      </c>
      <c r="AB77" s="148">
        <f t="array" ref="AB77">(((('2. Cost Inputs'!$B$67*'2. Cost Inputs'!$D$67)+('2. Cost Inputs'!$B$68*AA77)+('2.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165.03027704785461</v>
      </c>
      <c r="AC77" s="148">
        <f t="shared" ref="AC77:AC83" si="28">IF(AC78*(1-$H$71)&lt;0,0,AC78*(1-$H$71))</f>
        <v>20.566766700000006</v>
      </c>
      <c r="AD77" s="148">
        <f t="array" ref="AD77">(((('2. Cost Inputs'!$B$67*'2. Cost Inputs'!$D$67)+('2. Cost Inputs'!$B$68*'2. Cost Inputs'!$D$68)+('2. Cost Inputs'!$B$69*AC77)+SUMPRODUCT('2.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167.31997398674349</v>
      </c>
      <c r="AE77" s="148">
        <f t="shared" ref="AE77:AE83" si="29">IF(AE78*(1-$H$71)&lt;0,0,AE78*(1-$H$71))</f>
        <v>7.0990511326298025</v>
      </c>
      <c r="AF77" s="148">
        <f>(((SUMPRODUCT('2. Cost Inputs'!$B$67:$B$72,'2. Cost Inputs'!$D$67:$D$72))/'2. Cost Inputs'!B$15)/($B$8*'2. Cost Inputs'!$B$11)+AE77+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159.99210298448168</v>
      </c>
      <c r="AG77" s="149">
        <f t="shared" si="15"/>
        <v>5.0000000000000142E-2</v>
      </c>
      <c r="AH77" s="148">
        <f t="shared" ref="AH77:AH91" si="30">INDEX(E77:AF77,1,MATCH($F$71,$E$76:$AF$76,0)+1)</f>
        <v>709.41224286138095</v>
      </c>
    </row>
    <row r="78" spans="1:34" ht="15.75" customHeight="1" outlineLevel="1">
      <c r="A78" s="147" t="str">
        <f t="shared" si="16"/>
        <v>Plant Lifetime</v>
      </c>
      <c r="B78" s="148">
        <f t="shared" si="17"/>
        <v>2.9357074074074205</v>
      </c>
      <c r="C78" s="148">
        <f t="array" ref="C78">(((SUMPRODUCT('2. Cost Inputs'!B67:B72,'2. Cost Inputs'!D67:D72))/D44)/(B8*'2. Cost Inputs'!B11)+
((('2. Cost Inputs'!B73*'2. Cost Inputs'!D73)+('2. Cost Inputs'!B74*'2. Cost Inputs'!D74)+(SUM('2. Cost Inputs'!B78:B80)*SUMPRODUCT('2. Cost Inputs'!B67:B72,'2. Cost Inputs'!D67:D72))+(SUM('2. Cost Inputs'!B81:B82)*SUMPRODUCT('2. Cost Inputs'!B67:B72,'2. Cost Inputs'!D67:D72)))/D44/((B8*'2. Cost Inputs'!B11)))+
(('2. Cost Inputs'!B83*'2. Cost Inputs'!B84*(1-0.325)+(1-'2. Cost Inputs'!B83)*(INDEX(Model!$H$1:$AK$39,39,MATCH(D44,Model!$H$1:$AK$1,0))))*SUM(C22:C26))/(B8*'2.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164.79969682563237</v>
      </c>
      <c r="D78" s="148">
        <f t="array" ref="D78">(((SUMPRODUCT('2. Cost Inputs'!B67:B72,'2. Cost Inputs'!D67:D72))/B44)/(B8*'2. Cost Inputs'!B11)+
((('2. Cost Inputs'!B73*'2. Cost Inputs'!D73)+('2. Cost Inputs'!B74*'2. Cost Inputs'!D74)+(SUM('2. Cost Inputs'!B78:B80)*SUMPRODUCT('2. Cost Inputs'!B67:B72,'2. Cost Inputs'!D67:D72))+(SUM('2. Cost Inputs'!B81:B82)*SUMPRODUCT('2. Cost Inputs'!B67:B72,'2. Cost Inputs'!D67:D72)))/B44/((B8*'2. Cost Inputs'!B11)))+
(('2. Cost Inputs'!B83*'2. Cost Inputs'!B84*(1-0.325)+(1-'2. Cost Inputs'!B83)*(INDEX(Model!$H$1:$AK$39,39,MATCH(B44,Model!$H$1:$AK$1,0))))*SUM(C22:C26))/(B8*'2.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171.88607064187897</v>
      </c>
      <c r="E78" s="149">
        <f t="shared" ref="E78:E86" si="31">E79-0.1</f>
        <v>0.10000000000000014</v>
      </c>
      <c r="F78" s="147">
        <f t="array" ref="F78">(((SUMPRODUCT('2. Cost Inputs'!$B$67:$B$72,'2. Cost Inputs'!$D$67:$D$72))/'2. Cost Inputs'!$B$15)/($B$8*E78)+
((('2. Cost Inputs'!$B$73*'2. Cost Inputs'!$D$73)+('2. Cost Inputs'!$B$74*'2. Cost Inputs'!$D$74)+(SUM('2. Cost Inputs'!$B$78:$B$80)*SUMPRODUCT('2. Cost Inputs'!$B$67:$B$72,'2. Cost Inputs'!$D$67:$D$72))+(SUM('2. Cost Inputs'!$B$81:$B$82)*SUMPRODUCT('2. Cost Inputs'!$B$67:$B$72,'2. Cost Inputs'!$D$67:$D$72)))/'2. Cost Inputs'!$B$15/(($B$8*E78)))+
(('2. Cost Inputs'!$B$83*'2. Cost Inputs'!$B$84*(1-0.325)+(1-'2. Cost Inputs'!$B$83)*(INDEX(Model!$H$1:$AK$39,39,MATCH('2. Cost Inputs'!$B$15,Model!$H$1:$AK$1,0))))*SUM($C$22:$C$26))/($B$8*E78))+
(('2. Cost Inputs'!$B$24*'2. Cost Inputs'!$D$24)+('2. Cost Inputs'!$B$25*'2. Cost Inputs'!$D$25)+('2. Cost Inputs'!$B$26*'2. Cost Inputs'!$D$26)+(SUMPRODUCT('2. Cost Inputs'!$B$27:$B$29,'2. Cost Inputs'!$D$27:$D$29))+
(SUMPRODUCT('2. Cost Inputs'!$B$33:$B$35,'2. Cost Inputs'!$D$33:$D$35))+
('2. Cost Inputs'!$B$48*24*365*E78*'2. Cost Inputs'!$D$48/($B$9*E78))+
(SUMPRODUCT('2. Cost Inputs'!$B$39:$B$44,'2. Cost Inputs'!$D$39:$D$44))+
(SUMPRODUCT('2. Cost Inputs'!$B$54:$B$60,'2. Cost Inputs'!$D$54:$D$60)/($B$8*E78)))</f>
        <v>423.93940476402423</v>
      </c>
      <c r="G78" s="150">
        <f t="shared" ref="G78:G91" si="32">G77+2</f>
        <v>3</v>
      </c>
      <c r="H78" s="148">
        <f t="array" ref="H78">(((SUMPRODUCT('2. Cost Inputs'!$B$67:$B$72,'2. Cost Inputs'!$D$67:$D$72))/G78)/($B$8*'2. Cost Inputs'!$B$11)+
((('2. Cost Inputs'!$B$73*'2. Cost Inputs'!$D$73)+('2. Cost Inputs'!$B$74*'2. Cost Inputs'!$D$74)+(SUM('2. Cost Inputs'!$B$78:$B$80)*SUMPRODUCT('2. Cost Inputs'!$B$67:$B$72,'2. Cost Inputs'!$D$67:$D$72))+(SUM('2. Cost Inputs'!$B$81:$B$82)*SUMPRODUCT('2. Cost Inputs'!$B$67:$B$72,'2. Cost Inputs'!$D$67:$D$72)))/G78/(($B$8*'2. Cost Inputs'!$B$11)))+
(('2. Cost Inputs'!$B$83*'2. Cost Inputs'!$B$84*(1-0.325)+(1-'2. Cost Inputs'!$B$83)*(INDEX(Model!H$1:AK$39,39,MATCH(G78,Model!H$1:AK$1,0))))*SUM($C$22:$C$26))/($B$8*'2.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228.64336143616342</v>
      </c>
      <c r="I78" s="148">
        <f t="shared" si="18"/>
        <v>2.6572050000000003</v>
      </c>
      <c r="J78" s="148">
        <f t="array" ref="J7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Inputs'!$B$24*I78)+('2.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156.02142923303981</v>
      </c>
      <c r="K78" s="148">
        <f t="shared" si="19"/>
        <v>2.6572050000000003</v>
      </c>
      <c r="L78" s="148">
        <f t="array" ref="L7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Inputs'!$B$25*K78)+('2.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165.39260923303979</v>
      </c>
      <c r="M78" s="148">
        <f t="shared" si="20"/>
        <v>2.6572050000000003</v>
      </c>
      <c r="N78" s="148">
        <f t="array" ref="N7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Inputs'!$B$26*M78)+(SUMPRODUCT('2.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163.0498142330398</v>
      </c>
      <c r="O78" s="148">
        <f t="shared" si="21"/>
        <v>5.4206982000000015E-2</v>
      </c>
      <c r="P78" s="148">
        <f t="array" ref="P7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Inputs'!$B$33*O78)+
(SUMPRODUCT('2. Cost Inputs'!$B$34:$B$35,'2. Cost Inputs'!$D$34:$D$35))+
('2. Cost Inputs'!$B$48*24*365*'2. Cost Inputs'!$B$11*'2. Cost Inputs'!$D$48/($B$8*'2. Cost Inputs'!$B$11))+
(SUMPRODUCT('2. Cost Inputs'!$B$39:$B$44,'2. Cost Inputs'!$D$39:$D$44))+
(SUMPRODUCT('2. Cost Inputs'!$B$54:$B$60,'2. Cost Inputs'!$D$54:$D$60)/($B$8*'2. Cost Inputs'!$B$11)))</f>
        <v>158.17680063303979</v>
      </c>
      <c r="Q78" s="151">
        <f t="shared" si="22"/>
        <v>106.28820000000003</v>
      </c>
      <c r="R78" s="148">
        <f t="array" ref="R7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Inputs'!$D$33*Q78)+
(SUMPRODUCT('2. Cost Inputs'!$B$34:$B$35,'2. Cost Inputs'!$D$34:$D$35))+
('2. Cost Inputs'!$B$48*24*365*'2. Cost Inputs'!$B$11*'2. Cost Inputs'!$D$48/($B$8*'2. Cost Inputs'!$B$11))+
(SUMPRODUCT('2. Cost Inputs'!$B$39:$B$44,'2. Cost Inputs'!$D$39:$D$44))+
(SUMPRODUCT('2. Cost Inputs'!$B$54:$B$60,'2. Cost Inputs'!$D$54:$D$60)/($B$8*'2. Cost Inputs'!$B$11)))</f>
        <v>158.17680063303979</v>
      </c>
      <c r="S78" s="148">
        <f t="shared" si="23"/>
        <v>1.5943230000000004</v>
      </c>
      <c r="T78" s="152">
        <f t="array" ref="T7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Inputs'!$B$40:$B$44*S78))+ (SUMPRODUCT('2. Cost Inputs'!$B$41:$B$44,'2. Cost Inputs'!$D$41:$D$44))+ (SUMPRODUCT('2. Cost Inputs'!$B$54:$B$60,'2. Cost Inputs'!$D$54:$D$60)/($B$8*'2. Cost Inputs'!$B$11))</f>
        <v>162.1126962330398</v>
      </c>
      <c r="U78" s="148">
        <f t="shared" si="24"/>
        <v>0.26572050000000008</v>
      </c>
      <c r="V78" s="148">
        <f t="array" ref="V7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(U78*24*365*'2. Cost Inputs'!$B$11*'2. Cost Inputs'!$D$48/($B$8*'2. Cost Inputs'!$B$11))+
(SUMPRODUCT('2. Cost Inputs'!$B$39:$B$44,'2. Cost Inputs'!$D$39:$D$44))+
(SUMPRODUCT('2. Cost Inputs'!$B$54:$B$60,'2. Cost Inputs'!$D$54:$D$60)/($B$8*'2. Cost Inputs'!$B$11)))</f>
        <v>157.4021320383398</v>
      </c>
      <c r="W78" s="148">
        <f t="shared" si="25"/>
        <v>5.6300269050000011</v>
      </c>
      <c r="X78" s="148">
        <f t="array" ref="X7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W78)</f>
        <v>162.77154224915088</v>
      </c>
      <c r="Y78" s="148">
        <f t="shared" si="26"/>
        <v>1.5943230000000004</v>
      </c>
      <c r="Z78" s="148">
        <f t="array" ref="Z78">(((('2. Cost Inputs'!$B$67*Y78)+('2.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167.63128001081756</v>
      </c>
      <c r="AA78" s="148">
        <f t="shared" si="27"/>
        <v>3.7200869999999999</v>
      </c>
      <c r="AB78" s="148">
        <f t="array" ref="AB78">(((('2. Cost Inputs'!$B$67*'2. Cost Inputs'!$D$67)+('2. Cost Inputs'!$B$68*AA78)+('2.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165.30583904785459</v>
      </c>
      <c r="AC78" s="148">
        <f t="shared" si="28"/>
        <v>22.851963000000005</v>
      </c>
      <c r="AD78" s="148">
        <f t="array" ref="AD78">(((('2. Cost Inputs'!$B$67*'2. Cost Inputs'!$D$67)+('2. Cost Inputs'!$B$68*'2. Cost Inputs'!$D$68)+('2. Cost Inputs'!$B$69*AC78)+SUMPRODUCT('2.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167.36229243674347</v>
      </c>
      <c r="AE78" s="148">
        <f t="shared" si="29"/>
        <v>7.8878345918108916</v>
      </c>
      <c r="AF78" s="148">
        <f>(((SUMPRODUCT('2. Cost Inputs'!$B$67:$B$72,'2. Cost Inputs'!$D$67:$D$72))/'2. Cost Inputs'!B$15)/($B$8*'2. Cost Inputs'!$B$11)+AE78+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160.78088644366275</v>
      </c>
      <c r="AG78" s="149">
        <f t="shared" si="15"/>
        <v>0.10000000000000014</v>
      </c>
      <c r="AH78" s="148">
        <f t="shared" si="30"/>
        <v>423.93940476402423</v>
      </c>
    </row>
    <row r="79" spans="1:34" ht="15.75" customHeight="1" outlineLevel="1">
      <c r="A79" s="147" t="str">
        <f t="shared" si="16"/>
        <v>Raw material 1 Price</v>
      </c>
      <c r="B79" s="148">
        <f t="shared" si="17"/>
        <v>2.5</v>
      </c>
      <c r="C79" s="148">
        <f t="array" ref="C7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Inputs'!$B$24*$D$45)+('2.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165.23540423303979</v>
      </c>
      <c r="D79" s="152">
        <f t="array" ref="D7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Inputs'!B24*B45)+('2.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175.23540423303979</v>
      </c>
      <c r="E79" s="149">
        <f t="shared" si="31"/>
        <v>0.20000000000000015</v>
      </c>
      <c r="F79" s="147">
        <f t="array" ref="F79">(((SUMPRODUCT('2. Cost Inputs'!$B$67:$B$72,'2. Cost Inputs'!$D$67:$D$72))/'2. Cost Inputs'!$B$15)/($B$8*E79)+
((('2. Cost Inputs'!$B$73*'2. Cost Inputs'!$D$73)+('2. Cost Inputs'!$B$74*'2. Cost Inputs'!$D$74)+(SUM('2. Cost Inputs'!$B$78:$B$80)*SUMPRODUCT('2. Cost Inputs'!$B$67:$B$72,'2. Cost Inputs'!$D$67:$D$72))+(SUM('2. Cost Inputs'!$B$81:$B$82)*SUMPRODUCT('2. Cost Inputs'!$B$67:$B$72,'2. Cost Inputs'!$D$67:$D$72)))/'2. Cost Inputs'!$B$15/(($B$8*E79)))+
(('2. Cost Inputs'!$B$83*'2. Cost Inputs'!$B$84*(1-0.325)+(1-'2. Cost Inputs'!$B$83)*(INDEX(Model!$H$1:$AK$39,39,MATCH('2. Cost Inputs'!$B$15,Model!$H$1:$AK$1,0))))*SUM($C$22:$C$26))/($B$8*E79))+
(('2. Cost Inputs'!$B$24*'2. Cost Inputs'!$D$24)+('2. Cost Inputs'!$B$25*'2. Cost Inputs'!$D$25)+('2. Cost Inputs'!$B$26*'2. Cost Inputs'!$D$26)+(SUMPRODUCT('2. Cost Inputs'!$B$27:$B$29,'2. Cost Inputs'!$D$27:$D$29))+
(SUMPRODUCT('2. Cost Inputs'!$B$33:$B$35,'2. Cost Inputs'!$D$33:$D$35))+
('2. Cost Inputs'!$B$48*24*365*E79*'2. Cost Inputs'!$D$48/($B$9*E79))+
(SUMPRODUCT('2. Cost Inputs'!$B$39:$B$44,'2. Cost Inputs'!$D$39:$D$44))+
(SUMPRODUCT('2. Cost Inputs'!$B$54:$B$60,'2. Cost Inputs'!$D$54:$D$60)/($B$8*E79)))</f>
        <v>281.20298571534556</v>
      </c>
      <c r="G79" s="150">
        <f t="shared" si="32"/>
        <v>5</v>
      </c>
      <c r="H79" s="148">
        <f t="array" ref="H79">(((SUMPRODUCT('2. Cost Inputs'!$B$67:$B$72,'2. Cost Inputs'!$D$67:$D$72))/G79)/($B$8*'2. Cost Inputs'!$B$11)+
((('2. Cost Inputs'!$B$73*'2. Cost Inputs'!$D$73)+('2. Cost Inputs'!$B$74*'2. Cost Inputs'!$D$74)+(SUM('2. Cost Inputs'!$B$78:$B$80)*SUMPRODUCT('2. Cost Inputs'!$B$67:$B$72,'2. Cost Inputs'!$D$67:$D$72))+(SUM('2. Cost Inputs'!$B$81:$B$82)*SUMPRODUCT('2. Cost Inputs'!$B$67:$B$72,'2. Cost Inputs'!$D$67:$D$72)))/G79/(($B$8*'2. Cost Inputs'!$B$11)))+
(('2. Cost Inputs'!$B$83*'2. Cost Inputs'!$B$84*(1-0.325)+(1-'2. Cost Inputs'!$B$83)*(INDEX(Model!H$1:AK$39,39,MATCH(G79,Model!H$1:AK$1,0))))*SUM($C$22:$C$26))/($B$8*'2.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199.0810727219922</v>
      </c>
      <c r="I79" s="148">
        <f t="shared" si="18"/>
        <v>2.9524500000000002</v>
      </c>
      <c r="J79" s="148">
        <f t="array" ref="J7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Inputs'!$B$24*I79)+('2.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157.49765423303981</v>
      </c>
      <c r="K79" s="148">
        <f t="shared" si="19"/>
        <v>2.9524500000000002</v>
      </c>
      <c r="L79" s="148">
        <f t="array" ref="L7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Inputs'!$B$25*K79)+('2.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165.68785423303979</v>
      </c>
      <c r="M79" s="148">
        <f t="shared" si="20"/>
        <v>2.9524500000000002</v>
      </c>
      <c r="N79" s="148">
        <f t="array" ref="N7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Inputs'!$B$26*M79)+(SUMPRODUCT('2.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163.64030423303979</v>
      </c>
      <c r="O79" s="148">
        <f t="shared" si="21"/>
        <v>6.0229980000000016E-2</v>
      </c>
      <c r="P79" s="148">
        <f t="array" ref="P7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Inputs'!$B$33*O79)+
(SUMPRODUCT('2. Cost Inputs'!$B$34:$B$35,'2. Cost Inputs'!$D$34:$D$35))+
('2. Cost Inputs'!$B$48*24*365*'2. Cost Inputs'!$B$11*'2. Cost Inputs'!$D$48/($B$8*'2. Cost Inputs'!$B$11))+
(SUMPRODUCT('2. Cost Inputs'!$B$39:$B$44,'2. Cost Inputs'!$D$39:$D$44))+
(SUMPRODUCT('2. Cost Inputs'!$B$54:$B$60,'2. Cost Inputs'!$D$54:$D$60)/($B$8*'2. Cost Inputs'!$B$11)))</f>
        <v>159.38140023303978</v>
      </c>
      <c r="Q79" s="151">
        <f t="shared" si="22"/>
        <v>118.09800000000003</v>
      </c>
      <c r="R79" s="148">
        <f t="array" ref="R7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Inputs'!$D$33*Q79)+
(SUMPRODUCT('2. Cost Inputs'!$B$34:$B$35,'2. Cost Inputs'!$D$34:$D$35))+
('2. Cost Inputs'!$B$48*24*365*'2. Cost Inputs'!$B$11*'2. Cost Inputs'!$D$48/($B$8*'2. Cost Inputs'!$B$11))+
(SUMPRODUCT('2. Cost Inputs'!$B$39:$B$44,'2. Cost Inputs'!$D$39:$D$44))+
(SUMPRODUCT('2. Cost Inputs'!$B$54:$B$60,'2. Cost Inputs'!$D$54:$D$60)/($B$8*'2. Cost Inputs'!$B$11)))</f>
        <v>159.38140023303978</v>
      </c>
      <c r="S79" s="148">
        <f t="shared" si="23"/>
        <v>1.7714700000000003</v>
      </c>
      <c r="T79" s="152">
        <f t="array" ref="T7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Inputs'!$B$40:$B$44*S79))+ (SUMPRODUCT('2. Cost Inputs'!$B$41:$B$44,'2. Cost Inputs'!$D$41:$D$44))+ (SUMPRODUCT('2. Cost Inputs'!$B$54:$B$60,'2. Cost Inputs'!$D$54:$D$60)/($B$8*'2. Cost Inputs'!$B$11))</f>
        <v>162.82128423303979</v>
      </c>
      <c r="U79" s="148">
        <f t="shared" si="24"/>
        <v>0.29524500000000009</v>
      </c>
      <c r="V79" s="148">
        <f t="array" ref="V7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(U79*24*365*'2. Cost Inputs'!$B$11*'2. Cost Inputs'!$D$48/($B$8*'2. Cost Inputs'!$B$11))+
(SUMPRODUCT('2. Cost Inputs'!$B$39:$B$44,'2. Cost Inputs'!$D$39:$D$44))+
(SUMPRODUCT('2. Cost Inputs'!$B$54:$B$60,'2. Cost Inputs'!$D$54:$D$60)/($B$8*'2. Cost Inputs'!$B$11)))</f>
        <v>158.7043573500398</v>
      </c>
      <c r="W79" s="148">
        <f t="shared" si="25"/>
        <v>6.2555854500000008</v>
      </c>
      <c r="X79" s="148">
        <f t="array" ref="X7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W79)</f>
        <v>163.3971007941509</v>
      </c>
      <c r="Y79" s="148">
        <f t="shared" si="26"/>
        <v>1.7714700000000003</v>
      </c>
      <c r="Z79" s="148">
        <f t="array" ref="Z79">(((('2. Cost Inputs'!$B$67*Y79)+('2.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167.64440201081754</v>
      </c>
      <c r="AA79" s="148">
        <f t="shared" si="27"/>
        <v>4.1334299999999997</v>
      </c>
      <c r="AB79" s="148">
        <f t="array" ref="AB79">(((('2. Cost Inputs'!$B$67*'2. Cost Inputs'!$D$67)+('2. Cost Inputs'!$B$68*AA79)+('2.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165.6120190478546</v>
      </c>
      <c r="AC79" s="148">
        <f t="shared" si="28"/>
        <v>25.391070000000006</v>
      </c>
      <c r="AD79" s="148">
        <f t="array" ref="AD79">(((('2. Cost Inputs'!$B$67*'2. Cost Inputs'!$D$67)+('2. Cost Inputs'!$B$68*'2. Cost Inputs'!$D$68)+('2. Cost Inputs'!$B$69*AC79)+SUMPRODUCT('2.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167.40931293674348</v>
      </c>
      <c r="AE79" s="148">
        <f t="shared" si="29"/>
        <v>8.7642606575676574</v>
      </c>
      <c r="AF79" s="148">
        <f>(((SUMPRODUCT('2. Cost Inputs'!$B$67:$B$72,'2. Cost Inputs'!$D$67:$D$72))/'2. Cost Inputs'!B$15)/($B$8*'2. Cost Inputs'!$B$11)+AE79+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161.65731250941951</v>
      </c>
      <c r="AG79" s="149">
        <f t="shared" si="15"/>
        <v>0.20000000000000015</v>
      </c>
      <c r="AH79" s="148">
        <f t="shared" si="30"/>
        <v>281.20298571534556</v>
      </c>
    </row>
    <row r="80" spans="1:34" ht="15.75" customHeight="1" outlineLevel="1">
      <c r="A80" s="147" t="str">
        <f t="shared" si="16"/>
        <v>Raw material 2 Price</v>
      </c>
      <c r="B80" s="148">
        <f t="shared" si="17"/>
        <v>0.5</v>
      </c>
      <c r="C80" s="148">
        <f t="array" ref="C8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Inputs'!B25*D46)+('2.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167.23540423303979</v>
      </c>
      <c r="D80" s="152">
        <f t="array" ref="D8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Inputs'!B25*B46)+('2.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169.23540423303979</v>
      </c>
      <c r="E80" s="149">
        <f t="shared" si="31"/>
        <v>0.30000000000000016</v>
      </c>
      <c r="F80" s="147">
        <f t="array" ref="F80">(((SUMPRODUCT('2. Cost Inputs'!$B$67:$B$72,'2. Cost Inputs'!$D$67:$D$72))/'2. Cost Inputs'!$B$15)/($B$8*E80)+
((('2. Cost Inputs'!$B$73*'2. Cost Inputs'!$D$73)+('2. Cost Inputs'!$B$74*'2. Cost Inputs'!$D$74)+(SUM('2. Cost Inputs'!$B$78:$B$80)*SUMPRODUCT('2. Cost Inputs'!$B$67:$B$72,'2. Cost Inputs'!$D$67:$D$72))+(SUM('2. Cost Inputs'!$B$81:$B$82)*SUMPRODUCT('2. Cost Inputs'!$B$67:$B$72,'2. Cost Inputs'!$D$67:$D$72)))/'2. Cost Inputs'!$B$15/(($B$8*E80)))+
(('2. Cost Inputs'!$B$83*'2. Cost Inputs'!$B$84*(1-0.325)+(1-'2. Cost Inputs'!$B$83)*(INDEX(Model!$H$1:$AK$39,39,MATCH('2. Cost Inputs'!$B$15,Model!$H$1:$AK$1,0))))*SUM($C$22:$C$26))/($B$8*E80))+
(('2. Cost Inputs'!$B$24*'2. Cost Inputs'!$D$24)+('2. Cost Inputs'!$B$25*'2. Cost Inputs'!$D$25)+('2. Cost Inputs'!$B$26*'2. Cost Inputs'!$D$26)+(SUMPRODUCT('2. Cost Inputs'!$B$27:$B$29,'2. Cost Inputs'!$D$27:$D$29))+
(SUMPRODUCT('2. Cost Inputs'!$B$33:$B$35,'2. Cost Inputs'!$D$33:$D$35))+
('2. Cost Inputs'!$B$48*24*365*E80*'2. Cost Inputs'!$D$48/($B$9*E80))+
(SUMPRODUCT('2. Cost Inputs'!$B$39:$B$44,'2. Cost Inputs'!$D$39:$D$44))+
(SUMPRODUCT('2. Cost Inputs'!$B$54:$B$60,'2. Cost Inputs'!$D$54:$D$60)/($B$8*E80)))</f>
        <v>233.62417936578592</v>
      </c>
      <c r="G80" s="150">
        <f t="shared" si="32"/>
        <v>7</v>
      </c>
      <c r="H80" s="148">
        <f t="array" ref="H80">(((SUMPRODUCT('2. Cost Inputs'!$B$67:$B$72,'2. Cost Inputs'!$D$67:$D$72))/G80)/($B$8*'2. Cost Inputs'!$B$11)+
((('2. Cost Inputs'!$B$73*'2. Cost Inputs'!$D$73)+('2. Cost Inputs'!$B$74*'2. Cost Inputs'!$D$74)+(SUM('2. Cost Inputs'!$B$78:$B$80)*SUMPRODUCT('2. Cost Inputs'!$B$67:$B$72,'2. Cost Inputs'!$D$67:$D$72))+(SUM('2. Cost Inputs'!$B$81:$B$82)*SUMPRODUCT('2. Cost Inputs'!$B$67:$B$72,'2. Cost Inputs'!$D$67:$D$72)))/G80/(($B$8*'2. Cost Inputs'!$B$11)))+
(('2. Cost Inputs'!$B$83*'2. Cost Inputs'!$B$84*(1-0.325)+(1-'2. Cost Inputs'!$B$83)*(INDEX(Model!H$1:AK$39,39,MATCH(G80,Model!H$1:AK$1,0))))*SUM($C$22:$C$26))/($B$8*'2.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186.07723899426935</v>
      </c>
      <c r="I80" s="148">
        <f t="shared" si="18"/>
        <v>3.2805</v>
      </c>
      <c r="J80" s="148">
        <f t="array" ref="J8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Inputs'!$B$24*I80)+('2.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159.13790423303979</v>
      </c>
      <c r="K80" s="148">
        <f t="shared" si="19"/>
        <v>3.2805</v>
      </c>
      <c r="L80" s="148">
        <f t="array" ref="L8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Inputs'!$B$25*K80)+('2.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166.01590423303981</v>
      </c>
      <c r="M80" s="148">
        <f t="shared" si="20"/>
        <v>3.2805</v>
      </c>
      <c r="N80" s="148">
        <f t="array" ref="N8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Inputs'!$B$26*M80)+(SUMPRODUCT('2.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164.29640423303979</v>
      </c>
      <c r="O80" s="148">
        <f t="shared" si="21"/>
        <v>6.6922200000000015E-2</v>
      </c>
      <c r="P80" s="148">
        <f t="array" ref="P8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Inputs'!$B$33*O80)+
(SUMPRODUCT('2. Cost Inputs'!$B$34:$B$35,'2. Cost Inputs'!$D$34:$D$35))+
('2. Cost Inputs'!$B$48*24*365*'2. Cost Inputs'!$B$11*'2. Cost Inputs'!$D$48/($B$8*'2. Cost Inputs'!$B$11))+
(SUMPRODUCT('2. Cost Inputs'!$B$39:$B$44,'2. Cost Inputs'!$D$39:$D$44))+
(SUMPRODUCT('2. Cost Inputs'!$B$54:$B$60,'2. Cost Inputs'!$D$54:$D$60)/($B$8*'2. Cost Inputs'!$B$11)))</f>
        <v>160.71984423303979</v>
      </c>
      <c r="Q80" s="151">
        <f t="shared" si="22"/>
        <v>131.22000000000003</v>
      </c>
      <c r="R80" s="148">
        <f t="array" ref="R8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Inputs'!$D$33*Q80)+
(SUMPRODUCT('2. Cost Inputs'!$B$34:$B$35,'2. Cost Inputs'!$D$34:$D$35))+
('2. Cost Inputs'!$B$48*24*365*'2. Cost Inputs'!$B$11*'2. Cost Inputs'!$D$48/($B$8*'2. Cost Inputs'!$B$11))+
(SUMPRODUCT('2. Cost Inputs'!$B$39:$B$44,'2. Cost Inputs'!$D$39:$D$44))+
(SUMPRODUCT('2. Cost Inputs'!$B$54:$B$60,'2. Cost Inputs'!$D$54:$D$60)/($B$8*'2. Cost Inputs'!$B$11)))</f>
        <v>160.71984423303979</v>
      </c>
      <c r="S80" s="148">
        <f t="shared" si="23"/>
        <v>1.9683000000000004</v>
      </c>
      <c r="T80" s="152">
        <f t="array" ref="T8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Inputs'!$B$40:$B$44*S80))+ (SUMPRODUCT('2. Cost Inputs'!$B$41:$B$44,'2. Cost Inputs'!$D$41:$D$44))+ (SUMPRODUCT('2. Cost Inputs'!$B$54:$B$60,'2. Cost Inputs'!$D$54:$D$60)/($B$8*'2. Cost Inputs'!$B$11))</f>
        <v>163.60860423303978</v>
      </c>
      <c r="U80" s="148">
        <f t="shared" si="24"/>
        <v>0.32805000000000006</v>
      </c>
      <c r="V80" s="148">
        <f t="array" ref="V8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(U80*24*365*'2. Cost Inputs'!$B$11*'2. Cost Inputs'!$D$48/($B$8*'2. Cost Inputs'!$B$11))+
(SUMPRODUCT('2. Cost Inputs'!$B$39:$B$44,'2. Cost Inputs'!$D$39:$D$44))+
(SUMPRODUCT('2. Cost Inputs'!$B$54:$B$60,'2. Cost Inputs'!$D$54:$D$60)/($B$8*'2. Cost Inputs'!$B$11)))</f>
        <v>160.15127436303979</v>
      </c>
      <c r="W80" s="148">
        <f t="shared" si="25"/>
        <v>6.950650500000001</v>
      </c>
      <c r="X80" s="148">
        <f t="array" ref="X8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W80)</f>
        <v>164.09216584415088</v>
      </c>
      <c r="Y80" s="148">
        <f t="shared" si="26"/>
        <v>1.9683000000000004</v>
      </c>
      <c r="Z80" s="148">
        <f t="array" ref="Z80">(((('2. Cost Inputs'!$B$67*Y80)+('2.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167.65898201081757</v>
      </c>
      <c r="AA80" s="148">
        <f t="shared" si="27"/>
        <v>4.5926999999999998</v>
      </c>
      <c r="AB80" s="148">
        <f t="array" ref="AB80">(((('2. Cost Inputs'!$B$67*'2. Cost Inputs'!$D$67)+('2. Cost Inputs'!$B$68*AA80)+('2.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165.95221904785458</v>
      </c>
      <c r="AC80" s="148">
        <f t="shared" si="28"/>
        <v>28.212300000000006</v>
      </c>
      <c r="AD80" s="148">
        <f t="array" ref="AD80">(((('2. Cost Inputs'!$B$67*'2. Cost Inputs'!$D$67)+('2. Cost Inputs'!$B$68*'2. Cost Inputs'!$D$68)+('2. Cost Inputs'!$B$69*AC80)+SUMPRODUCT('2.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167.46155793674347</v>
      </c>
      <c r="AE80" s="148">
        <f t="shared" si="29"/>
        <v>9.7380673972973977</v>
      </c>
      <c r="AF80" s="148">
        <f>(((SUMPRODUCT('2. Cost Inputs'!$B$67:$B$72,'2. Cost Inputs'!$D$67:$D$72))/'2. Cost Inputs'!B$15)/($B$8*'2. Cost Inputs'!$B$11)+AE80+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162.63111924914926</v>
      </c>
      <c r="AG80" s="149">
        <f t="shared" si="15"/>
        <v>0.30000000000000016</v>
      </c>
      <c r="AH80" s="148">
        <f t="shared" si="30"/>
        <v>233.62417936578592</v>
      </c>
    </row>
    <row r="81" spans="1:34" ht="15.75" customHeight="1" outlineLevel="1">
      <c r="A81" s="147" t="str">
        <f t="shared" si="16"/>
        <v>Raw material 3 Price</v>
      </c>
      <c r="B81" s="148">
        <f t="shared" si="17"/>
        <v>1</v>
      </c>
      <c r="C81" s="148">
        <f t="array" ref="C8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Inputs'!B26*D47)+(SUMPRODUCT('2.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166.73540423303979</v>
      </c>
      <c r="D81" s="152">
        <f t="array" ref="D8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Inputs'!B26*B47)+(SUMPRODUCT('2.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170.73540423303979</v>
      </c>
      <c r="E81" s="149">
        <f t="shared" si="31"/>
        <v>0.40000000000000013</v>
      </c>
      <c r="F81" s="147">
        <f t="array" ref="F81">(((SUMPRODUCT('2. Cost Inputs'!$B$67:$B$72,'2. Cost Inputs'!$D$67:$D$72))/'2. Cost Inputs'!$B$15)/($B$8*E81)+
((('2. Cost Inputs'!$B$73*'2. Cost Inputs'!$D$73)+('2. Cost Inputs'!$B$74*'2. Cost Inputs'!$D$74)+(SUM('2. Cost Inputs'!$B$78:$B$80)*SUMPRODUCT('2. Cost Inputs'!$B$67:$B$72,'2. Cost Inputs'!$D$67:$D$72))+(SUM('2. Cost Inputs'!$B$81:$B$82)*SUMPRODUCT('2. Cost Inputs'!$B$67:$B$72,'2. Cost Inputs'!$D$67:$D$72)))/'2. Cost Inputs'!$B$15/(($B$8*E81)))+
(('2. Cost Inputs'!$B$83*'2. Cost Inputs'!$B$84*(1-0.325)+(1-'2. Cost Inputs'!$B$83)*(INDEX(Model!$H$1:$AK$39,39,MATCH('2. Cost Inputs'!$B$15,Model!$H$1:$AK$1,0))))*SUM($C$22:$C$26))/($B$8*E81))+
(('2. Cost Inputs'!$B$24*'2. Cost Inputs'!$D$24)+('2. Cost Inputs'!$B$25*'2. Cost Inputs'!$D$25)+('2. Cost Inputs'!$B$26*'2. Cost Inputs'!$D$26)+(SUMPRODUCT('2. Cost Inputs'!$B$27:$B$29,'2. Cost Inputs'!$D$27:$D$29))+
(SUMPRODUCT('2. Cost Inputs'!$B$33:$B$35,'2. Cost Inputs'!$D$33:$D$35))+
('2. Cost Inputs'!$B$48*24*365*E81*'2. Cost Inputs'!$D$48/($B$9*E81))+
(SUMPRODUCT('2. Cost Inputs'!$B$39:$B$44,'2. Cost Inputs'!$D$39:$D$44))+
(SUMPRODUCT('2. Cost Inputs'!$B$54:$B$60,'2. Cost Inputs'!$D$54:$D$60)/($B$8*E81)))</f>
        <v>209.83477619100614</v>
      </c>
      <c r="G81" s="150">
        <f t="shared" si="32"/>
        <v>9</v>
      </c>
      <c r="H81" s="148">
        <f t="array" ref="H81">(((SUMPRODUCT('2. Cost Inputs'!$B$67:$B$72,'2. Cost Inputs'!$D$67:$D$72))/G81)/($B$8*'2. Cost Inputs'!$B$11)+
((('2. Cost Inputs'!$B$73*'2. Cost Inputs'!$D$73)+('2. Cost Inputs'!$B$74*'2. Cost Inputs'!$D$74)+(SUM('2. Cost Inputs'!$B$78:$B$80)*SUMPRODUCT('2. Cost Inputs'!$B$67:$B$72,'2. Cost Inputs'!$D$67:$D$72))+(SUM('2. Cost Inputs'!$B$81:$B$82)*SUMPRODUCT('2. Cost Inputs'!$B$67:$B$72,'2. Cost Inputs'!$D$67:$D$72)))/G81/(($B$8*'2. Cost Inputs'!$B$11)))+
(('2. Cost Inputs'!$B$83*'2. Cost Inputs'!$B$84*(1-0.325)+(1-'2. Cost Inputs'!$B$83)*(INDEX(Model!H$1:AK$39,39,MATCH(G81,Model!H$1:AK$1,0))))*SUM($C$22:$C$26))/($B$8*'2.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178.61657672301587</v>
      </c>
      <c r="I81" s="148">
        <f t="shared" si="18"/>
        <v>3.645</v>
      </c>
      <c r="J81" s="148">
        <f t="array" ref="J8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Inputs'!$B$24*I81)+('2.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160.96040423303981</v>
      </c>
      <c r="K81" s="148">
        <f t="shared" si="19"/>
        <v>3.645</v>
      </c>
      <c r="L81" s="148">
        <f t="array" ref="L8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Inputs'!$B$25*K81)+('2.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166.3804042330398</v>
      </c>
      <c r="M81" s="148">
        <f t="shared" si="20"/>
        <v>3.645</v>
      </c>
      <c r="N81" s="148">
        <f t="array" ref="N8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Inputs'!$B$26*M81)+(SUMPRODUCT('2.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165.02540423303978</v>
      </c>
      <c r="O81" s="148">
        <f t="shared" si="21"/>
        <v>7.4358000000000007E-2</v>
      </c>
      <c r="P81" s="148">
        <f t="array" ref="P8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Inputs'!$B$33*O81)+
(SUMPRODUCT('2. Cost Inputs'!$B$34:$B$35,'2. Cost Inputs'!$D$34:$D$35))+
('2. Cost Inputs'!$B$48*24*365*'2. Cost Inputs'!$B$11*'2. Cost Inputs'!$D$48/($B$8*'2. Cost Inputs'!$B$11))+
(SUMPRODUCT('2. Cost Inputs'!$B$39:$B$44,'2. Cost Inputs'!$D$39:$D$44))+
(SUMPRODUCT('2. Cost Inputs'!$B$54:$B$60,'2. Cost Inputs'!$D$54:$D$60)/($B$8*'2. Cost Inputs'!$B$11)))</f>
        <v>162.20700423303978</v>
      </c>
      <c r="Q81" s="151">
        <f t="shared" si="22"/>
        <v>145.80000000000001</v>
      </c>
      <c r="R81" s="148">
        <f t="array" ref="R8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Inputs'!$D$33*Q81)+
(SUMPRODUCT('2. Cost Inputs'!$B$34:$B$35,'2. Cost Inputs'!$D$34:$D$35))+
('2. Cost Inputs'!$B$48*24*365*'2. Cost Inputs'!$B$11*'2. Cost Inputs'!$D$48/($B$8*'2. Cost Inputs'!$B$11))+
(SUMPRODUCT('2. Cost Inputs'!$B$39:$B$44,'2. Cost Inputs'!$D$39:$D$44))+
(SUMPRODUCT('2. Cost Inputs'!$B$54:$B$60,'2. Cost Inputs'!$D$54:$D$60)/($B$8*'2. Cost Inputs'!$B$11)))</f>
        <v>162.20700423303978</v>
      </c>
      <c r="S81" s="148">
        <f t="shared" si="23"/>
        <v>2.1870000000000003</v>
      </c>
      <c r="T81" s="152">
        <f t="array" ref="T8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Inputs'!$B$40:$B$44*S81))+ (SUMPRODUCT('2. Cost Inputs'!$B$41:$B$44,'2. Cost Inputs'!$D$41:$D$44))+ (SUMPRODUCT('2. Cost Inputs'!$B$54:$B$60,'2. Cost Inputs'!$D$54:$D$60)/($B$8*'2. Cost Inputs'!$B$11))</f>
        <v>164.48340423303978</v>
      </c>
      <c r="U81" s="148">
        <f t="shared" si="24"/>
        <v>0.36450000000000005</v>
      </c>
      <c r="V81" s="148">
        <f t="array" ref="V8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(U81*24*365*'2. Cost Inputs'!$B$11*'2. Cost Inputs'!$D$48/($B$8*'2. Cost Inputs'!$B$11))+
(SUMPRODUCT('2. Cost Inputs'!$B$39:$B$44,'2. Cost Inputs'!$D$39:$D$44))+
(SUMPRODUCT('2. Cost Inputs'!$B$54:$B$60,'2. Cost Inputs'!$D$54:$D$60)/($B$8*'2. Cost Inputs'!$B$11)))</f>
        <v>161.75895993303979</v>
      </c>
      <c r="W81" s="148">
        <f t="shared" si="25"/>
        <v>7.7229450000000011</v>
      </c>
      <c r="X81" s="148">
        <f t="array" ref="X8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W81)</f>
        <v>164.8644603441509</v>
      </c>
      <c r="Y81" s="148">
        <f t="shared" si="26"/>
        <v>2.1870000000000003</v>
      </c>
      <c r="Z81" s="148">
        <f t="array" ref="Z81">(((('2. Cost Inputs'!$B$67*Y81)+('2.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167.67518201081757</v>
      </c>
      <c r="AA81" s="148">
        <f t="shared" si="27"/>
        <v>5.1029999999999998</v>
      </c>
      <c r="AB81" s="148">
        <f t="array" ref="AB81">(((('2. Cost Inputs'!$B$67*'2. Cost Inputs'!$D$67)+('2. Cost Inputs'!$B$68*AA81)+('2.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166.3302190478546</v>
      </c>
      <c r="AC81" s="148">
        <f t="shared" si="28"/>
        <v>31.347000000000005</v>
      </c>
      <c r="AD81" s="148">
        <f t="array" ref="AD81">(((('2. Cost Inputs'!$B$67*'2. Cost Inputs'!$D$67)+('2. Cost Inputs'!$B$68*'2. Cost Inputs'!$D$68)+('2. Cost Inputs'!$B$69*AC81)+SUMPRODUCT('2.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167.51960793674348</v>
      </c>
      <c r="AE81" s="148">
        <f t="shared" si="29"/>
        <v>10.820074885885997</v>
      </c>
      <c r="AF81" s="148">
        <f>(((SUMPRODUCT('2. Cost Inputs'!$B$67:$B$72,'2. Cost Inputs'!$D$67:$D$72))/'2. Cost Inputs'!B$15)/($B$8*'2. Cost Inputs'!$B$11)+AE81+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163.71312673773787</v>
      </c>
      <c r="AG81" s="149">
        <f t="shared" si="15"/>
        <v>0.40000000000000013</v>
      </c>
      <c r="AH81" s="148">
        <f t="shared" si="30"/>
        <v>209.83477619100614</v>
      </c>
    </row>
    <row r="82" spans="1:34" ht="15.75" customHeight="1" outlineLevel="1">
      <c r="A82" s="147" t="str">
        <f t="shared" si="16"/>
        <v>Energy Cost</v>
      </c>
      <c r="B82" s="148">
        <f t="shared" si="17"/>
        <v>10.199999999999989</v>
      </c>
      <c r="C82" s="148">
        <f t="array" ref="C82">(((SUMPRODUCT('2.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Inputs'!B33*D48)+
(SUMPRODUCT('2. Cost Inputs'!B34:B35,'2. Cost Inputs'!D34:D35))+
('2. Cost Inputs'!B48*24*365*'2. Cost Inputs'!B11*'2. Cost Inputs'!D48/(B8*'2. Cost Inputs'!B11))+
(SUMPRODUCT('2. Cost Inputs'!B39:B44,'2. Cost Inputs'!D39:D44))+
(SUMPRODUCT('2. Cost Inputs'!B54:B60,'2. Cost Inputs'!D54:D60)/(B8*'2. Cost Inputs'!B11)))</f>
        <v>157.5354042330398</v>
      </c>
      <c r="D82" s="148">
        <f t="array" ref="D82">(((SUMPRODUCT('2.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Inputs'!B33*B48)+
(SUMPRODUCT('2. Cost Inputs'!B34:B35,'2. Cost Inputs'!D34:D35))+
('2. Cost Inputs'!B48*24*365*'2. Cost Inputs'!B11*'2. Cost Inputs'!D48/(B8*'2. Cost Inputs'!B11))+
(SUMPRODUCT('2. Cost Inputs'!B39:B44,'2. Cost Inputs'!D39:D44))+
(SUMPRODUCT('2. Cost Inputs'!B54:B60,'2. Cost Inputs'!D54:D60)/(B8*'2. Cost Inputs'!B11)))</f>
        <v>188.13540423303979</v>
      </c>
      <c r="E82" s="149">
        <f t="shared" si="31"/>
        <v>0.50000000000000011</v>
      </c>
      <c r="F82" s="147">
        <f t="array" ref="F82">(((SUMPRODUCT('2. Cost Inputs'!$B$67:$B$72,'2. Cost Inputs'!$D$67:$D$72))/'2. Cost Inputs'!$B$15)/($B$8*E82)+
((('2. Cost Inputs'!$B$73*'2. Cost Inputs'!$D$73)+('2. Cost Inputs'!$B$74*'2. Cost Inputs'!$D$74)+(SUM('2. Cost Inputs'!$B$78:$B$80)*SUMPRODUCT('2. Cost Inputs'!$B$67:$B$72,'2. Cost Inputs'!$D$67:$D$72))+(SUM('2. Cost Inputs'!$B$81:$B$82)*SUMPRODUCT('2. Cost Inputs'!$B$67:$B$72,'2. Cost Inputs'!$D$67:$D$72)))/'2. Cost Inputs'!$B$15/(($B$8*E82)))+
(('2. Cost Inputs'!$B$83*'2. Cost Inputs'!$B$84*(1-0.325)+(1-'2. Cost Inputs'!$B$83)*(INDEX(Model!$H$1:$AK$39,39,MATCH('2. Cost Inputs'!$B$15,Model!$H$1:$AK$1,0))))*SUM($C$22:$C$26))/($B$8*E82))+
(('2. Cost Inputs'!$B$24*'2. Cost Inputs'!$D$24)+('2. Cost Inputs'!$B$25*'2. Cost Inputs'!$D$25)+('2. Cost Inputs'!$B$26*'2. Cost Inputs'!$D$26)+(SUMPRODUCT('2. Cost Inputs'!$B$27:$B$29,'2. Cost Inputs'!$D$27:$D$29))+
(SUMPRODUCT('2. Cost Inputs'!$B$33:$B$35,'2. Cost Inputs'!$D$33:$D$35))+
('2. Cost Inputs'!$B$48*24*365*E82*'2. Cost Inputs'!$D$48/($B$9*E82))+
(SUMPRODUCT('2. Cost Inputs'!$B$39:$B$44,'2. Cost Inputs'!$D$39:$D$44))+
(SUMPRODUCT('2. Cost Inputs'!$B$54:$B$60,'2. Cost Inputs'!$D$54:$D$60)/($B$8*E82)))</f>
        <v>195.56113428613824</v>
      </c>
      <c r="G82" s="150">
        <f t="shared" si="32"/>
        <v>11</v>
      </c>
      <c r="H82" s="148">
        <f t="array" ref="H82">(((SUMPRODUCT('2. Cost Inputs'!$B$67:$B$72,'2. Cost Inputs'!$D$67:$D$72))/G82)/($B$8*'2. Cost Inputs'!$B$11)+
((('2. Cost Inputs'!$B$73*'2. Cost Inputs'!$D$73)+('2. Cost Inputs'!$B$74*'2. Cost Inputs'!$D$74)+(SUM('2. Cost Inputs'!$B$78:$B$80)*SUMPRODUCT('2. Cost Inputs'!$B$67:$B$72,'2. Cost Inputs'!$D$67:$D$72))+(SUM('2. Cost Inputs'!$B$81:$B$82)*SUMPRODUCT('2. Cost Inputs'!$B$67:$B$72,'2. Cost Inputs'!$D$67:$D$72)))/G82/(($B$8*'2. Cost Inputs'!$B$11)))+
(('2. Cost Inputs'!$B$83*'2. Cost Inputs'!$B$84*(1-0.325)+(1-'2. Cost Inputs'!$B$83)*(INDEX(Model!H$1:AK$39,39,MATCH(G82,Model!H$1:AK$1,0))))*SUM($C$22:$C$26))/($B$8*'2.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173.74343428281475</v>
      </c>
      <c r="I82" s="148">
        <f t="shared" si="18"/>
        <v>4.05</v>
      </c>
      <c r="J82" s="148">
        <f t="array" ref="J82">(((SUMPRODUCT('2.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Inputs'!$B$24*I82)+('2.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162.98540423303979</v>
      </c>
      <c r="K82" s="148">
        <f t="shared" si="19"/>
        <v>4.05</v>
      </c>
      <c r="L82" s="148">
        <f t="array" ref="L82">(((SUMPRODUCT('2.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Inputs'!$B$25*K82)+('2.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166.7854042330398</v>
      </c>
      <c r="M82" s="148">
        <f t="shared" si="20"/>
        <v>4.05</v>
      </c>
      <c r="N82" s="148">
        <f t="array" ref="N82">(((SUMPRODUCT('2.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Inputs'!$B$26*M82)+(SUMPRODUCT('2.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165.83540423303978</v>
      </c>
      <c r="O82" s="148">
        <f t="shared" si="21"/>
        <v>8.2619999999999999E-2</v>
      </c>
      <c r="P82" s="148">
        <f t="array" ref="P82">(((SUMPRODUCT('2.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Inputs'!$B$33*O82)+
(SUMPRODUCT('2. Cost Inputs'!$B$34:$B$35,'2. Cost Inputs'!$D$34:$D$35))+
('2. Cost Inputs'!$B$48*24*365*'2. Cost Inputs'!$B$11*'2. Cost Inputs'!$D$48/($B$8*'2. Cost Inputs'!$B$11))+
(SUMPRODUCT('2. Cost Inputs'!$B$39:$B$44,'2. Cost Inputs'!$D$39:$D$44))+
(SUMPRODUCT('2. Cost Inputs'!$B$54:$B$60,'2. Cost Inputs'!$D$54:$D$60)/($B$8*'2. Cost Inputs'!$B$11)))</f>
        <v>163.85940423303978</v>
      </c>
      <c r="Q82" s="151">
        <f t="shared" si="22"/>
        <v>162</v>
      </c>
      <c r="R82" s="148">
        <f t="array" ref="R82">(((SUMPRODUCT('2.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Inputs'!$D$33*Q82)+
(SUMPRODUCT('2. Cost Inputs'!$B$34:$B$35,'2. Cost Inputs'!$D$34:$D$35))+
('2. Cost Inputs'!$B$48*24*365*'2. Cost Inputs'!$B$11*'2. Cost Inputs'!$D$48/($B$8*'2. Cost Inputs'!$B$11))+
(SUMPRODUCT('2. Cost Inputs'!$B$39:$B$44,'2. Cost Inputs'!$D$39:$D$44))+
(SUMPRODUCT('2. Cost Inputs'!$B$54:$B$60,'2. Cost Inputs'!$D$54:$D$60)/($B$8*'2. Cost Inputs'!$B$11)))</f>
        <v>163.85940423303978</v>
      </c>
      <c r="S82" s="148">
        <f t="shared" si="23"/>
        <v>2.4300000000000002</v>
      </c>
      <c r="T82" s="152">
        <f t="array" ref="T82">(((SUMPRODUCT('2.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Inputs'!$B$40:$B$44*S82))+ (SUMPRODUCT('2. Cost Inputs'!$B$41:$B$44,'2. Cost Inputs'!$D$41:$D$44))+ (SUMPRODUCT('2. Cost Inputs'!$B$54:$B$60,'2. Cost Inputs'!$D$54:$D$60)/($B$8*'2. Cost Inputs'!$B$11))</f>
        <v>165.45540423303979</v>
      </c>
      <c r="U82" s="148">
        <f t="shared" si="24"/>
        <v>0.40500000000000003</v>
      </c>
      <c r="V82" s="148">
        <f t="array" ref="V82">(((SUMPRODUCT('2.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(U82*24*365*'2. Cost Inputs'!$B$11*'2. Cost Inputs'!$D$48/($B$8*'2. Cost Inputs'!$B$11))+
(SUMPRODUCT('2. Cost Inputs'!$B$39:$B$44,'2. Cost Inputs'!$D$39:$D$44))+
(SUMPRODUCT('2. Cost Inputs'!$B$54:$B$60,'2. Cost Inputs'!$D$54:$D$60)/($B$8*'2. Cost Inputs'!$B$11)))</f>
        <v>163.5452772330398</v>
      </c>
      <c r="W82" s="148">
        <f t="shared" si="25"/>
        <v>8.5810500000000012</v>
      </c>
      <c r="X82" s="148">
        <f t="array" ref="X82">(((SUMPRODUCT('2.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W82)</f>
        <v>165.72256534415089</v>
      </c>
      <c r="Y82" s="148">
        <f t="shared" si="26"/>
        <v>2.4300000000000002</v>
      </c>
      <c r="Z82" s="148">
        <f t="array" ref="Z82">(((('2. Cost Inputs'!$B$67*Y82)+('2.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167.69318201081757</v>
      </c>
      <c r="AA82" s="148">
        <f t="shared" si="27"/>
        <v>5.67</v>
      </c>
      <c r="AB82" s="148">
        <f t="array" ref="AB82">(((('2. Cost Inputs'!$B$67*'2. Cost Inputs'!$D$67)+('2. Cost Inputs'!$B$68*AA82)+('2.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166.75021904785459</v>
      </c>
      <c r="AC82" s="148">
        <f t="shared" si="28"/>
        <v>34.830000000000005</v>
      </c>
      <c r="AD82" s="148">
        <f t="array" ref="AD82">(((('2. Cost Inputs'!$B$67*'2. Cost Inputs'!$D$67)+('2. Cost Inputs'!$B$68*'2. Cost Inputs'!$D$68)+('2. Cost Inputs'!$B$69*AC82)+SUMPRODUCT('2.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167.58410793674349</v>
      </c>
      <c r="AE82" s="148">
        <f t="shared" si="29"/>
        <v>12.02230542876222</v>
      </c>
      <c r="AF82" s="148">
        <f>(((SUMPRODUCT('2. Cost Inputs'!$B$67:$B$72,'2. Cost Inputs'!$D$67:$D$72))/'2. Cost Inputs'!B$15)/($B$8*'2. Cost Inputs'!$B$11)+AE82+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164.91535728061407</v>
      </c>
      <c r="AG82" s="149">
        <f t="shared" si="15"/>
        <v>0.50000000000000011</v>
      </c>
      <c r="AH82" s="148">
        <f t="shared" si="30"/>
        <v>195.56113428613824</v>
      </c>
    </row>
    <row r="83" spans="1:34" ht="15.75" customHeight="1" outlineLevel="1">
      <c r="A83" s="147" t="str">
        <f t="shared" si="16"/>
        <v>Energy Use</v>
      </c>
      <c r="B83" s="148">
        <f t="shared" si="17"/>
        <v>12.240000000000009</v>
      </c>
      <c r="C83" s="148">
        <f t="array" ref="C83">(((SUMPRODUCT('2.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Inputs'!D33*D49)+
(SUMPRODUCT('2. Cost Inputs'!B34:B35,'2. Cost Inputs'!D34:D35))+
('2. Cost Inputs'!B48*24*365*'2. Cost Inputs'!B11*'2. Cost Inputs'!D48/(B8*'2. Cost Inputs'!B11))+
(SUMPRODUCT('2. Cost Inputs'!B39:B44,'2. Cost Inputs'!D39:D44))+
(SUMPRODUCT('2. Cost Inputs'!B54:B60,'2. Cost Inputs'!D54:D60)/(B8*'2. Cost Inputs'!B11)))</f>
        <v>155.49540423303978</v>
      </c>
      <c r="D83" s="148">
        <f t="array" ref="D83">(((SUMPRODUCT('2.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Inputs'!D33*B49)+
(SUMPRODUCT('2. Cost Inputs'!B34:B35,'2. Cost Inputs'!D34:D35))+
('2. Cost Inputs'!B48*24*365*'2. Cost Inputs'!B11*'2. Cost Inputs'!D48/(B8*'2. Cost Inputs'!B11))+
(SUMPRODUCT('2. Cost Inputs'!B39:B44,'2. Cost Inputs'!D39:D44))+
(SUMPRODUCT('2. Cost Inputs'!B54:B60,'2. Cost Inputs'!D54:D60)/(B8*'2. Cost Inputs'!B11)))</f>
        <v>198.33540423303981</v>
      </c>
      <c r="E83" s="149">
        <f t="shared" si="31"/>
        <v>0.60000000000000009</v>
      </c>
      <c r="F83" s="147">
        <f t="array" ref="F83">(((SUMPRODUCT('2. Cost Inputs'!$B$67:$B$72,'2. Cost Inputs'!$D$67:$D$72))/'2. Cost Inputs'!$B$15)/($B$8*E83)+
((('2. Cost Inputs'!$B$73*'2. Cost Inputs'!$D$73)+('2. Cost Inputs'!$B$74*'2. Cost Inputs'!$D$74)+(SUM('2. Cost Inputs'!$B$78:$B$80)*SUMPRODUCT('2. Cost Inputs'!$B$67:$B$72,'2. Cost Inputs'!$D$67:$D$72))+(SUM('2. Cost Inputs'!$B$81:$B$82)*SUMPRODUCT('2. Cost Inputs'!$B$67:$B$72,'2. Cost Inputs'!$D$67:$D$72)))/'2. Cost Inputs'!$B$15/(($B$8*E83)))+
(('2. Cost Inputs'!$B$83*'2. Cost Inputs'!$B$84*(1-0.325)+(1-'2. Cost Inputs'!$B$83)*(INDEX(Model!$H$1:$AK$39,39,MATCH('2. Cost Inputs'!$B$15,Model!$H$1:$AK$1,0))))*SUM($C$22:$C$26))/($B$8*E83))+
(('2. Cost Inputs'!$B$24*'2. Cost Inputs'!$D$24)+('2. Cost Inputs'!$B$25*'2. Cost Inputs'!$D$25)+('2. Cost Inputs'!$B$26*'2. Cost Inputs'!$D$26)+(SUMPRODUCT('2. Cost Inputs'!$B$27:$B$29,'2. Cost Inputs'!$D$27:$D$29))+
(SUMPRODUCT('2. Cost Inputs'!$B$33:$B$35,'2. Cost Inputs'!$D$33:$D$35))+
('2. Cost Inputs'!$B$48*24*365*E83*'2. Cost Inputs'!$D$48/($B$9*E83))+
(SUMPRODUCT('2. Cost Inputs'!$B$39:$B$44,'2. Cost Inputs'!$D$39:$D$44))+
(SUMPRODUCT('2. Cost Inputs'!$B$54:$B$60,'2. Cost Inputs'!$D$54:$D$60)/($B$8*E83)))</f>
        <v>186.04537301622631</v>
      </c>
      <c r="G83" s="150">
        <f t="shared" si="32"/>
        <v>13</v>
      </c>
      <c r="H83" s="148">
        <f t="array" ref="H83">(((SUMPRODUCT('2. Cost Inputs'!$B$67:$B$72,'2. Cost Inputs'!$D$67:$D$72))/G83)/($B$8*'2. Cost Inputs'!$B$11)+
((('2. Cost Inputs'!$B$73*'2. Cost Inputs'!$D$73)+('2. Cost Inputs'!$B$74*'2. Cost Inputs'!$D$74)+(SUM('2. Cost Inputs'!$B$78:$B$80)*SUMPRODUCT('2. Cost Inputs'!$B$67:$B$72,'2. Cost Inputs'!$D$67:$D$72))+(SUM('2. Cost Inputs'!$B$81:$B$82)*SUMPRODUCT('2. Cost Inputs'!$B$67:$B$72,'2. Cost Inputs'!$D$67:$D$72)))/G83/(($B$8*'2. Cost Inputs'!$B$11)))+
(('2. Cost Inputs'!$B$83*'2. Cost Inputs'!$B$84*(1-0.325)+(1-'2. Cost Inputs'!$B$83)*(INDEX(Model!H$1:AK$39,39,MATCH(G83,Model!H$1:AK$1,0))))*SUM($C$22:$C$26))/($B$8*'2.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170.30048938084136</v>
      </c>
      <c r="I83" s="148">
        <f t="shared" si="18"/>
        <v>4.5</v>
      </c>
      <c r="J83" s="148">
        <f t="array" ref="J83">(((SUMPRODUCT('2.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Inputs'!$B$24*I83)+('2.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165.23540423303979</v>
      </c>
      <c r="K83" s="148">
        <f t="shared" si="19"/>
        <v>4.5</v>
      </c>
      <c r="L83" s="148">
        <f t="array" ref="L83">(((SUMPRODUCT('2.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Inputs'!$B$25*K83)+('2.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167.23540423303979</v>
      </c>
      <c r="M83" s="148">
        <f t="shared" si="20"/>
        <v>4.5</v>
      </c>
      <c r="N83" s="148">
        <f t="array" ref="N83">(((SUMPRODUCT('2.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Inputs'!$B$26*M83)+(SUMPRODUCT('2.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166.73540423303979</v>
      </c>
      <c r="O83" s="148">
        <f t="shared" si="21"/>
        <v>9.1799999999999993E-2</v>
      </c>
      <c r="P83" s="148">
        <f t="array" ref="P83">(((SUMPRODUCT('2.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Inputs'!$B$33*O83)+
(SUMPRODUCT('2. Cost Inputs'!$B$34:$B$35,'2. Cost Inputs'!$D$34:$D$35))+
('2. Cost Inputs'!$B$48*24*365*'2. Cost Inputs'!$B$11*'2. Cost Inputs'!$D$48/($B$8*'2. Cost Inputs'!$B$11))+
(SUMPRODUCT('2. Cost Inputs'!$B$39:$B$44,'2. Cost Inputs'!$D$39:$D$44))+
(SUMPRODUCT('2. Cost Inputs'!$B$54:$B$60,'2. Cost Inputs'!$D$54:$D$60)/($B$8*'2. Cost Inputs'!$B$11)))</f>
        <v>165.6954042330398</v>
      </c>
      <c r="Q83" s="151">
        <f t="shared" si="22"/>
        <v>180</v>
      </c>
      <c r="R83" s="148">
        <f t="array" ref="R83">(((SUMPRODUCT('2.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Inputs'!$D$33*Q83)+
(SUMPRODUCT('2. Cost Inputs'!$B$34:$B$35,'2. Cost Inputs'!$D$34:$D$35))+
('2. Cost Inputs'!$B$48*24*365*'2. Cost Inputs'!$B$11*'2. Cost Inputs'!$D$48/($B$8*'2. Cost Inputs'!$B$11))+
(SUMPRODUCT('2. Cost Inputs'!$B$39:$B$44,'2. Cost Inputs'!$D$39:$D$44))+
(SUMPRODUCT('2. Cost Inputs'!$B$54:$B$60,'2. Cost Inputs'!$D$54:$D$60)/($B$8*'2. Cost Inputs'!$B$11)))</f>
        <v>165.6954042330398</v>
      </c>
      <c r="S83" s="148">
        <f t="shared" si="23"/>
        <v>2.7</v>
      </c>
      <c r="T83" s="152">
        <f t="array" ref="T83">(((SUMPRODUCT('2.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Inputs'!$B$40:$B$44*S83))+ (SUMPRODUCT('2. Cost Inputs'!$B$41:$B$44,'2. Cost Inputs'!$D$41:$D$44))+ (SUMPRODUCT('2. Cost Inputs'!$B$54:$B$60,'2. Cost Inputs'!$D$54:$D$60)/($B$8*'2. Cost Inputs'!$B$11))</f>
        <v>166.5354042330398</v>
      </c>
      <c r="U83" s="148">
        <f t="shared" si="24"/>
        <v>0.45</v>
      </c>
      <c r="V83" s="148">
        <f t="array" ref="V83">(((SUMPRODUCT('2.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(U83*24*365*'2. Cost Inputs'!$B$11*'2. Cost Inputs'!$D$48/($B$8*'2. Cost Inputs'!$B$11))+
(SUMPRODUCT('2. Cost Inputs'!$B$39:$B$44,'2. Cost Inputs'!$D$39:$D$44))+
(SUMPRODUCT('2. Cost Inputs'!$B$54:$B$60,'2. Cost Inputs'!$D$54:$D$60)/($B$8*'2. Cost Inputs'!$B$11)))</f>
        <v>165.53007423303978</v>
      </c>
      <c r="W83" s="148">
        <f t="shared" si="25"/>
        <v>9.5345000000000013</v>
      </c>
      <c r="X83" s="148">
        <f t="array" ref="X83">(((SUMPRODUCT('2.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W83)</f>
        <v>166.6760153441509</v>
      </c>
      <c r="Y83" s="148">
        <f t="shared" si="26"/>
        <v>2.7</v>
      </c>
      <c r="Z83" s="148">
        <f t="array" ref="Z83">(((('2. Cost Inputs'!$B$67*Y83)+('2.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167.71318201081755</v>
      </c>
      <c r="AA83" s="148">
        <f t="shared" si="27"/>
        <v>6.3</v>
      </c>
      <c r="AB83" s="148">
        <f t="array" ref="AB83">(((('2. Cost Inputs'!$B$67*'2. Cost Inputs'!$D$67)+('2. Cost Inputs'!$B$68*AA83)+('2.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167.21688571452125</v>
      </c>
      <c r="AC83" s="148">
        <f t="shared" si="28"/>
        <v>38.700000000000003</v>
      </c>
      <c r="AD83" s="148">
        <f t="array" ref="AD83">(((('2. Cost Inputs'!$B$67*'2. Cost Inputs'!$D$67)+('2. Cost Inputs'!$B$68*'2. Cost Inputs'!$D$68)+('2. Cost Inputs'!$B$69*AC83)+SUMPRODUCT('2.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167.65577460341015</v>
      </c>
      <c r="AE83" s="148">
        <f t="shared" si="29"/>
        <v>13.358117143069133</v>
      </c>
      <c r="AF83" s="148">
        <f>(((SUMPRODUCT('2. Cost Inputs'!$B$67:$B$72,'2. Cost Inputs'!$D$67:$D$72))/'2. Cost Inputs'!B$15)/($B$8*'2. Cost Inputs'!$B$11)+AE83+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166.25116899492099</v>
      </c>
      <c r="AG83" s="149">
        <f t="shared" si="15"/>
        <v>0.60000000000000009</v>
      </c>
      <c r="AH83" s="148">
        <f t="shared" si="30"/>
        <v>186.04537301622631</v>
      </c>
    </row>
    <row r="84" spans="1:34" ht="15.75" customHeight="1" outlineLevel="1">
      <c r="A84" s="147" t="str">
        <f t="shared" si="16"/>
        <v>Non-consumables (e.g. Catalysts)</v>
      </c>
      <c r="B84" s="148">
        <f t="shared" si="17"/>
        <v>2.4000000000000057</v>
      </c>
      <c r="C84" s="152">
        <f t="array" ref="C84">(((SUMPRODUCT('2.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Inputs'!B40:B44*D50))+ (SUMPRODUCT('2. Cost Inputs'!B41:B44,'2. Cost Inputs'!D41:D44))+ (SUMPRODUCT('2. Cost Inputs'!B54:B60,'2. Cost Inputs'!D54:D60)/(B8*'2. Cost Inputs'!B11))</f>
        <v>165.33540423303978</v>
      </c>
      <c r="D84" s="148">
        <f t="array" ref="D84">(((SUMPRODUCT('2.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Inputs'!B40:B44*B50))+ (SUMPRODUCT('2. Cost Inputs'!B41:B44,'2. Cost Inputs'!D41:D44))+ (SUMPRODUCT('2. Cost Inputs'!B54:B60,'2. Cost Inputs'!D54:D60)/(B8*'2. Cost Inputs'!B11))</f>
        <v>179.73540423303979</v>
      </c>
      <c r="E84" s="149">
        <f t="shared" si="31"/>
        <v>0.70000000000000007</v>
      </c>
      <c r="F84" s="147">
        <f t="array" ref="F84">(((SUMPRODUCT('2. Cost Inputs'!$B$67:$B$72,'2. Cost Inputs'!$D$67:$D$72))/'2. Cost Inputs'!$B$15)/($B$8*E84)+
((('2. Cost Inputs'!$B$73*'2. Cost Inputs'!$D$73)+('2. Cost Inputs'!$B$74*'2. Cost Inputs'!$D$74)+(SUM('2. Cost Inputs'!$B$78:$B$80)*SUMPRODUCT('2. Cost Inputs'!$B$67:$B$72,'2. Cost Inputs'!$D$67:$D$72))+(SUM('2. Cost Inputs'!$B$81:$B$82)*SUMPRODUCT('2. Cost Inputs'!$B$67:$B$72,'2. Cost Inputs'!$D$67:$D$72)))/'2. Cost Inputs'!$B$15/(($B$8*E84)))+
(('2. Cost Inputs'!$B$83*'2. Cost Inputs'!$B$84*(1-0.325)+(1-'2. Cost Inputs'!$B$83)*(INDEX(Model!$H$1:$AK$39,39,MATCH('2. Cost Inputs'!$B$15,Model!$H$1:$AK$1,0))))*SUM($C$22:$C$26))/($B$8*E84))+
(('2. Cost Inputs'!$B$24*'2. Cost Inputs'!$D$24)+('2. Cost Inputs'!$B$25*'2. Cost Inputs'!$D$25)+('2. Cost Inputs'!$B$26*'2. Cost Inputs'!$D$26)+(SUMPRODUCT('2. Cost Inputs'!$B$27:$B$29,'2. Cost Inputs'!$D$27:$D$29))+
(SUMPRODUCT('2. Cost Inputs'!$B$33:$B$35,'2. Cost Inputs'!$D$33:$D$35))+
('2. Cost Inputs'!$B$48*24*365*E84*'2. Cost Inputs'!$D$48/($B$9*E84))+
(SUMPRODUCT('2. Cost Inputs'!$B$39:$B$44,'2. Cost Inputs'!$D$39:$D$44))+
(SUMPRODUCT('2. Cost Inputs'!$B$54:$B$60,'2. Cost Inputs'!$D$54:$D$60)/($B$8*E84)))</f>
        <v>179.24840068057495</v>
      </c>
      <c r="G84" s="150">
        <f t="shared" si="32"/>
        <v>15</v>
      </c>
      <c r="H84" s="148">
        <f t="array" ref="H84">(((SUMPRODUCT('2. Cost Inputs'!$B$67:$B$72,'2. Cost Inputs'!$D$67:$D$72))/G84)/($B$8*'2. Cost Inputs'!$B$11)+
((('2. Cost Inputs'!$B$73*'2. Cost Inputs'!$D$73)+('2. Cost Inputs'!$B$74*'2. Cost Inputs'!$D$74)+(SUM('2. Cost Inputs'!$B$78:$B$80)*SUMPRODUCT('2. Cost Inputs'!$B$67:$B$72,'2. Cost Inputs'!$D$67:$D$72))+(SUM('2. Cost Inputs'!$B$81:$B$82)*SUMPRODUCT('2. Cost Inputs'!$B$67:$B$72,'2. Cost Inputs'!$D$67:$D$72)))/G84/(($B$8*'2. Cost Inputs'!$B$11)))+
(('2. Cost Inputs'!$B$83*'2. Cost Inputs'!$B$84*(1-0.325)+(1-'2. Cost Inputs'!$B$83)*(INDEX(Model!H$1:AK$39,39,MATCH(G84,Model!H$1:AK$1,0))))*SUM($C$22:$C$26))/($B$8*'2.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167.73540423303979</v>
      </c>
      <c r="I84" s="148">
        <f>C45</f>
        <v>5</v>
      </c>
      <c r="J84" s="148">
        <f t="array" ref="J84">(((SUMPRODUCT('2.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Inputs'!$B$24*I84)+('2.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167.73540423303979</v>
      </c>
      <c r="K84" s="148">
        <f>C46</f>
        <v>5</v>
      </c>
      <c r="L84" s="148">
        <f t="array" ref="L84">(((SUMPRODUCT('2.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Inputs'!$B$25*K84)+('2.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167.73540423303979</v>
      </c>
      <c r="M84" s="148">
        <f>C47</f>
        <v>5</v>
      </c>
      <c r="N84" s="148">
        <f t="array" ref="N84">(((SUMPRODUCT('2.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Inputs'!$B$26*M84)+(SUMPRODUCT('2.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167.73540423303979</v>
      </c>
      <c r="O84" s="148">
        <f>C48</f>
        <v>0.10199999999999999</v>
      </c>
      <c r="P84" s="148">
        <f t="array" ref="P84">(((SUMPRODUCT('2.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Inputs'!$B$33*O84)+
(SUMPRODUCT('2. Cost Inputs'!$B$34:$B$35,'2. Cost Inputs'!$D$34:$D$35))+
('2. Cost Inputs'!$B$48*24*365*'2. Cost Inputs'!$B$11*'2. Cost Inputs'!$D$48/($B$8*'2. Cost Inputs'!$B$11))+
(SUMPRODUCT('2. Cost Inputs'!$B$39:$B$44,'2. Cost Inputs'!$D$39:$D$44))+
(SUMPRODUCT('2. Cost Inputs'!$B$54:$B$60,'2. Cost Inputs'!$D$54:$D$60)/($B$8*'2. Cost Inputs'!$B$11)))</f>
        <v>167.73540423303979</v>
      </c>
      <c r="Q84" s="151">
        <f>C49</f>
        <v>200</v>
      </c>
      <c r="R84" s="148">
        <f t="array" ref="R84">(((SUMPRODUCT('2.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Inputs'!$D$33*Q84)+
(SUMPRODUCT('2. Cost Inputs'!$B$34:$B$35,'2. Cost Inputs'!$D$34:$D$35))+
('2. Cost Inputs'!$B$48*24*365*'2. Cost Inputs'!$B$11*'2. Cost Inputs'!$D$48/($B$8*'2. Cost Inputs'!$B$11))+
(SUMPRODUCT('2. Cost Inputs'!$B$39:$B$44,'2. Cost Inputs'!$D$39:$D$44))+
(SUMPRODUCT('2. Cost Inputs'!$B$54:$B$60,'2. Cost Inputs'!$D$54:$D$60)/($B$8*'2. Cost Inputs'!$B$11)))</f>
        <v>167.73540423303979</v>
      </c>
      <c r="S84" s="148">
        <f>C50</f>
        <v>3</v>
      </c>
      <c r="T84" s="152">
        <f t="array" ref="T84">(((SUMPRODUCT('2.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Inputs'!$B$40:$B$44*S84))+ (SUMPRODUCT('2. Cost Inputs'!$B$41:$B$44,'2. Cost Inputs'!$D$41:$D$44))+ (SUMPRODUCT('2. Cost Inputs'!$B$54:$B$60,'2. Cost Inputs'!$D$54:$D$60)/($B$8*'2. Cost Inputs'!$B$11))</f>
        <v>167.73540423303979</v>
      </c>
      <c r="U84" s="148">
        <f>C51</f>
        <v>0.5</v>
      </c>
      <c r="V84" s="148">
        <f t="array" ref="V84">(((SUMPRODUCT('2.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(U84*24*365*'2. Cost Inputs'!$B$11*'2. Cost Inputs'!$D$48/($B$8*'2. Cost Inputs'!$B$11))+
(SUMPRODUCT('2. Cost Inputs'!$B$39:$B$44,'2. Cost Inputs'!$D$39:$D$44))+
(SUMPRODUCT('2. Cost Inputs'!$B$54:$B$60,'2. Cost Inputs'!$D$54:$D$60)/($B$8*'2. Cost Inputs'!$B$11)))</f>
        <v>167.73540423303979</v>
      </c>
      <c r="W84" s="148">
        <f>C52</f>
        <v>10.593888888888889</v>
      </c>
      <c r="X84" s="148">
        <f t="array" ref="X84">(((SUMPRODUCT('2.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W84)</f>
        <v>167.73540423303979</v>
      </c>
      <c r="Y84" s="148">
        <f>C53</f>
        <v>3</v>
      </c>
      <c r="Z84" s="148">
        <f t="array" ref="Z84">(((('2. Cost Inputs'!$B$67*Y84)+('2.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167.73540423303979</v>
      </c>
      <c r="AA84" s="148">
        <f>C54</f>
        <v>7</v>
      </c>
      <c r="AB84" s="148">
        <f t="array" ref="AB84">(((('2. Cost Inputs'!$B$67*'2. Cost Inputs'!$D$67)+('2. Cost Inputs'!$B$68*AA84)+('2.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167.73540423303979</v>
      </c>
      <c r="AC84" s="148">
        <f>C55</f>
        <v>43</v>
      </c>
      <c r="AD84" s="148">
        <f t="array" ref="AD84">(((('2. Cost Inputs'!$B$67*'2. Cost Inputs'!$D$67)+('2. Cost Inputs'!$B$68*'2. Cost Inputs'!$D$68)+('2. Cost Inputs'!$B$69*AC84)+SUMPRODUCT('2.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167.73540423303979</v>
      </c>
      <c r="AE84" s="148">
        <f>C56</f>
        <v>14.842352381187926</v>
      </c>
      <c r="AF84" s="148">
        <f>(((SUMPRODUCT('2. Cost Inputs'!$B$67:$B$72,'2. Cost Inputs'!$D$67:$D$72))/'2. Cost Inputs'!B$15)/($B$8*'2. Cost Inputs'!$B$11)+AE84+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167.73540423303979</v>
      </c>
      <c r="AG84" s="149">
        <f t="shared" si="15"/>
        <v>0.70000000000000007</v>
      </c>
      <c r="AH84" s="148">
        <f t="shared" si="30"/>
        <v>179.24840068057495</v>
      </c>
    </row>
    <row r="85" spans="1:34" ht="15.75" customHeight="1" outlineLevel="1">
      <c r="A85" s="147" t="str">
        <f t="shared" si="16"/>
        <v>Direct labor (shift positions)</v>
      </c>
      <c r="B85" s="148">
        <f t="shared" si="17"/>
        <v>4.4106600000000071</v>
      </c>
      <c r="C85" s="147">
        <f t="array" ref="C85">(((SUMPRODUCT('2.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(D51*24*365*'2. Cost Inputs'!B11*'2. Cost Inputs'!D48/(B8*'2. Cost Inputs'!B11))+
(SUMPRODUCT('2. Cost Inputs'!B39:B44,'2. Cost Inputs'!D39:D44))+
(SUMPRODUCT('2. Cost Inputs'!B54:B60,'2. Cost Inputs'!D54:D60)/(B8*'2. Cost Inputs'!B11)))</f>
        <v>163.32474423303978</v>
      </c>
      <c r="D85" s="147">
        <f t="array" ref="D85">(((SUMPRODUCT('2.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(B51*24*365*'2. Cost Inputs'!B11*'2. Cost Inputs'!D48/(B8*'2. Cost Inputs'!B11))+
(SUMPRODUCT('2. Cost Inputs'!B39:B44,'2. Cost Inputs'!D39:D44))+
(SUMPRODUCT('2. Cost Inputs'!B54:B60,'2. Cost Inputs'!D54:D60)/(B8*'2. Cost Inputs'!B11)))</f>
        <v>189.78870423303979</v>
      </c>
      <c r="E85" s="149">
        <f t="shared" si="31"/>
        <v>0.8</v>
      </c>
      <c r="F85" s="147">
        <f t="array" ref="F85">(((SUMPRODUCT('2. Cost Inputs'!$B$67:$B$72,'2. Cost Inputs'!$D$67:$D$72))/'2. Cost Inputs'!$B$15)/($B$8*E85)+
((('2. Cost Inputs'!$B$73*'2. Cost Inputs'!$D$73)+('2. Cost Inputs'!$B$74*'2. Cost Inputs'!$D$74)+(SUM('2. Cost Inputs'!$B$78:$B$80)*SUMPRODUCT('2. Cost Inputs'!$B$67:$B$72,'2. Cost Inputs'!$D$67:$D$72))+(SUM('2. Cost Inputs'!$B$81:$B$82)*SUMPRODUCT('2. Cost Inputs'!$B$67:$B$72,'2. Cost Inputs'!$D$67:$D$72)))/'2. Cost Inputs'!$B$15/(($B$8*E85)))+
(('2. Cost Inputs'!$B$83*'2. Cost Inputs'!$B$84*(1-0.325)+(1-'2. Cost Inputs'!$B$83)*(INDEX(Model!$H$1:$AK$39,39,MATCH('2. Cost Inputs'!$B$15,Model!$H$1:$AK$1,0))))*SUM($C$22:$C$26))/($B$8*E85))+
(('2. Cost Inputs'!$B$24*'2. Cost Inputs'!$D$24)+('2. Cost Inputs'!$B$25*'2. Cost Inputs'!$D$25)+('2. Cost Inputs'!$B$26*'2. Cost Inputs'!$D$26)+(SUMPRODUCT('2. Cost Inputs'!$B$27:$B$29,'2. Cost Inputs'!$D$27:$D$29))+
(SUMPRODUCT('2. Cost Inputs'!$B$33:$B$35,'2. Cost Inputs'!$D$33:$D$35))+
('2. Cost Inputs'!$B$48*24*365*E85*'2. Cost Inputs'!$D$48/($B$9*E85))+
(SUMPRODUCT('2. Cost Inputs'!$B$39:$B$44,'2. Cost Inputs'!$D$39:$D$44))+
(SUMPRODUCT('2. Cost Inputs'!$B$54:$B$60,'2. Cost Inputs'!$D$54:$D$60)/($B$8*E85)))</f>
        <v>174.1506714288364</v>
      </c>
      <c r="G85" s="150">
        <f t="shared" si="32"/>
        <v>17</v>
      </c>
      <c r="H85" s="148">
        <f t="array" ref="H85">(((SUMPRODUCT('2. Cost Inputs'!$B$67:$B$72,'2. Cost Inputs'!$D$67:$D$72))/G85)/($B$8*'2. Cost Inputs'!$B$11)+
((('2. Cost Inputs'!$B$73*'2. Cost Inputs'!$D$73)+('2. Cost Inputs'!$B$74*'2. Cost Inputs'!$D$74)+(SUM('2. Cost Inputs'!$B$78:$B$80)*SUMPRODUCT('2. Cost Inputs'!$B$67:$B$72,'2. Cost Inputs'!$D$67:$D$72))+(SUM('2. Cost Inputs'!$B$81:$B$82)*SUMPRODUCT('2. Cost Inputs'!$B$67:$B$72,'2. Cost Inputs'!$D$67:$D$72)))/G85/(($B$8*'2. Cost Inputs'!$B$11)))+
(('2. Cost Inputs'!$B$83*'2. Cost Inputs'!$B$84*(1-0.325)+(1-'2. Cost Inputs'!$B$83)*(INDEX(Model!H$1:AK$39,39,MATCH(G85,Model!H$1:AK$1,0))))*SUM($C$22:$C$26))/($B$8*'2.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165.66314018075221</v>
      </c>
      <c r="I85" s="148">
        <f t="shared" ref="I85:I91" si="33">IF(I84*(1+$H$71)&lt;0,0,I84*(1+$H$71))</f>
        <v>5.5</v>
      </c>
      <c r="J85" s="148">
        <f t="array" ref="J85">(((SUMPRODUCT('2.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Inputs'!$B$24*I85)+('2.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170.23540423303979</v>
      </c>
      <c r="K85" s="148">
        <f t="shared" ref="K85:K91" si="34">IF(K84*(1+$H$71)&lt;0,0,K84*(1+$H$71))</f>
        <v>5.5</v>
      </c>
      <c r="L85" s="148">
        <f t="array" ref="L85">(((SUMPRODUCT('2.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Inputs'!$B$25*K85)+('2.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168.23540423303979</v>
      </c>
      <c r="M85" s="148">
        <f t="shared" ref="M85:M91" si="35">IF(M84*(1+$H$71)&lt;0,0,M84*(1+$H$71))</f>
        <v>5.5</v>
      </c>
      <c r="N85" s="148">
        <f t="array" ref="N85">(((SUMPRODUCT('2.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Inputs'!$B$26*M85)+(SUMPRODUCT('2.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168.73540423303979</v>
      </c>
      <c r="O85" s="148">
        <f t="shared" ref="O85:O91" si="36">IF(O84*(1+$H$71)&lt;0,0,O84*(1+$H$71))</f>
        <v>0.11220000000000001</v>
      </c>
      <c r="P85" s="148">
        <f t="array" ref="P85">(((SUMPRODUCT('2.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Inputs'!$B$33*O85)+
(SUMPRODUCT('2. Cost Inputs'!$B$34:$B$35,'2. Cost Inputs'!$D$34:$D$35))+
('2. Cost Inputs'!$B$48*24*365*'2. Cost Inputs'!$B$11*'2. Cost Inputs'!$D$48/($B$8*'2. Cost Inputs'!$B$11))+
(SUMPRODUCT('2. Cost Inputs'!$B$39:$B$44,'2. Cost Inputs'!$D$39:$D$44))+
(SUMPRODUCT('2. Cost Inputs'!$B$54:$B$60,'2. Cost Inputs'!$D$54:$D$60)/($B$8*'2. Cost Inputs'!$B$11)))</f>
        <v>169.77540423303978</v>
      </c>
      <c r="Q85" s="151">
        <f t="shared" ref="Q85:Q91" si="37">IF(Q84*(1+$H$71)&lt;0,0,Q84*(1+$H$71))</f>
        <v>220.00000000000003</v>
      </c>
      <c r="R85" s="148">
        <f t="array" ref="R85">(((SUMPRODUCT('2.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Inputs'!$D$33*Q85)+
(SUMPRODUCT('2. Cost Inputs'!$B$34:$B$35,'2. Cost Inputs'!$D$34:$D$35))+
('2. Cost Inputs'!$B$48*24*365*'2. Cost Inputs'!$B$11*'2. Cost Inputs'!$D$48/($B$8*'2. Cost Inputs'!$B$11))+
(SUMPRODUCT('2. Cost Inputs'!$B$39:$B$44,'2. Cost Inputs'!$D$39:$D$44))+
(SUMPRODUCT('2. Cost Inputs'!$B$54:$B$60,'2. Cost Inputs'!$D$54:$D$60)/($B$8*'2. Cost Inputs'!$B$11)))</f>
        <v>169.77540423303978</v>
      </c>
      <c r="S85" s="148">
        <f t="shared" ref="S85:S91" si="38">IF(S84*(1+$H$71)&lt;0,0,S84*(1+$H$71))</f>
        <v>3.3000000000000003</v>
      </c>
      <c r="T85" s="152">
        <f t="array" ref="T85">(((SUMPRODUCT('2.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Inputs'!$B$40:$B$44*S85))+ (SUMPRODUCT('2. Cost Inputs'!$B$41:$B$44,'2. Cost Inputs'!$D$41:$D$44))+ (SUMPRODUCT('2. Cost Inputs'!$B$54:$B$60,'2. Cost Inputs'!$D$54:$D$60)/($B$8*'2. Cost Inputs'!$B$11))</f>
        <v>168.93540423303978</v>
      </c>
      <c r="U85" s="148">
        <f t="shared" ref="U85:U91" si="39">IF(U84*(1+$H$71)&lt;0,0,U84*(1+$H$71))</f>
        <v>0.55000000000000004</v>
      </c>
      <c r="V85" s="148">
        <f t="array" ref="V85">(((SUMPRODUCT('2.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(U85*24*365*'2. Cost Inputs'!$B$11*'2. Cost Inputs'!$D$48/($B$8*'2. Cost Inputs'!$B$11))+
(SUMPRODUCT('2. Cost Inputs'!$B$39:$B$44,'2. Cost Inputs'!$D$39:$D$44))+
(SUMPRODUCT('2. Cost Inputs'!$B$54:$B$60,'2. Cost Inputs'!$D$54:$D$60)/($B$8*'2. Cost Inputs'!$B$11)))</f>
        <v>169.94073423303979</v>
      </c>
      <c r="W85" s="148">
        <f t="shared" ref="W85:W91" si="40">IF(W84*(1+$H$71)&lt;0,0,W84*(1+$H$71))</f>
        <v>11.653277777777779</v>
      </c>
      <c r="X85" s="148">
        <f t="array" ref="X85">(((SUMPRODUCT('2.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W85)</f>
        <v>168.79479312192868</v>
      </c>
      <c r="Y85" s="148">
        <f t="shared" ref="Y85:Y91" si="41">IF(Y84*(1+$H$71)&lt;0,0,Y84*(1+$H$71))</f>
        <v>3.3000000000000003</v>
      </c>
      <c r="Z85" s="148">
        <f t="array" ref="Z85">(((('2. Cost Inputs'!$B$67*Y85)+('2.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167.757626455262</v>
      </c>
      <c r="AA85" s="148">
        <f t="shared" ref="AA85:AA91" si="42">IF(AA84*(1+$H$71)&lt;0,0,AA84*(1+$H$71))</f>
        <v>7.7000000000000011</v>
      </c>
      <c r="AB85" s="148">
        <f t="array" ref="AB85">(((('2. Cost Inputs'!$B$67*'2. Cost Inputs'!$D$67)+('2. Cost Inputs'!$B$68*AA85)+('2.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168.25392275155829</v>
      </c>
      <c r="AC85" s="148">
        <f t="shared" ref="AC85:AC91" si="43">IF(AC84*(1+$H$71)&lt;0,0,AC84*(1+$H$71))</f>
        <v>47.300000000000004</v>
      </c>
      <c r="AD85" s="148">
        <f t="array" ref="AD85">(((('2. Cost Inputs'!$B$67*'2. Cost Inputs'!$D$67)+('2. Cost Inputs'!$B$68*'2. Cost Inputs'!$D$68)+('2. Cost Inputs'!$B$69*AC85)+SUMPRODUCT('2.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167.8150338626694</v>
      </c>
      <c r="AE85" s="148">
        <f t="shared" ref="AE85:AE91" si="44">IF(AE84*(1+$H$71)&lt;0,0,AE84*(1+$H$71))</f>
        <v>16.326587619306718</v>
      </c>
      <c r="AF85" s="148">
        <f>(((SUMPRODUCT('2. Cost Inputs'!$B$67:$B$72,'2. Cost Inputs'!$D$67:$D$72))/'2. Cost Inputs'!B$15)/($B$8*'2. Cost Inputs'!$B$11)+AE85+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169.21963947115859</v>
      </c>
      <c r="AG85" s="149">
        <f t="shared" si="15"/>
        <v>0.8</v>
      </c>
      <c r="AH85" s="148">
        <f t="shared" si="30"/>
        <v>174.1506714288364</v>
      </c>
    </row>
    <row r="86" spans="1:34" ht="15.75" customHeight="1" outlineLevel="1">
      <c r="A86" s="147" t="str">
        <f t="shared" si="16"/>
        <v>Fixed Operating Expenses</v>
      </c>
      <c r="B86" s="148">
        <f t="shared" si="17"/>
        <v>2.1187777777777796</v>
      </c>
      <c r="C86" s="148">
        <f t="array" ref="C86">(((SUMPRODUCT('2.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D52)</f>
        <v>165.61662645526201</v>
      </c>
      <c r="D86" s="148">
        <f t="array" ref="D86">(((SUMPRODUCT('2.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B52)</f>
        <v>178.32929312192866</v>
      </c>
      <c r="E86" s="149">
        <f t="shared" si="31"/>
        <v>0.9</v>
      </c>
      <c r="F86" s="147">
        <f t="array" ref="F86">(((SUMPRODUCT('2. Cost Inputs'!$B$67:$B$72,'2. Cost Inputs'!$D$67:$D$72))/'2. Cost Inputs'!$B$15)/($B$8*E86)+
((('2. Cost Inputs'!$B$73*'2. Cost Inputs'!$D$73)+('2. Cost Inputs'!$B$74*'2. Cost Inputs'!$D$74)+(SUM('2. Cost Inputs'!$B$78:$B$80)*SUMPRODUCT('2. Cost Inputs'!$B$67:$B$72,'2. Cost Inputs'!$D$67:$D$72))+(SUM('2. Cost Inputs'!$B$81:$B$82)*SUMPRODUCT('2. Cost Inputs'!$B$67:$B$72,'2. Cost Inputs'!$D$67:$D$72)))/'2. Cost Inputs'!$B$15/(($B$8*E86)))+
(('2. Cost Inputs'!$B$83*'2. Cost Inputs'!$B$84*(1-0.325)+(1-'2. Cost Inputs'!$B$83)*(INDEX(Model!$H$1:$AK$39,39,MATCH('2. Cost Inputs'!$B$15,Model!$H$1:$AK$1,0))))*SUM($C$22:$C$26))/($B$8*E86))+
(('2. Cost Inputs'!$B$24*'2. Cost Inputs'!$D$24)+('2. Cost Inputs'!$B$25*'2. Cost Inputs'!$D$25)+('2. Cost Inputs'!$B$26*'2. Cost Inputs'!$D$26)+(SUMPRODUCT('2. Cost Inputs'!$B$27:$B$29,'2. Cost Inputs'!$D$27:$D$29))+
(SUMPRODUCT('2. Cost Inputs'!$B$33:$B$35,'2. Cost Inputs'!$D$33:$D$35))+
('2. Cost Inputs'!$B$48*24*365*E86*'2. Cost Inputs'!$D$48/($B$9*E86))+
(SUMPRODUCT('2. Cost Inputs'!$B$39:$B$44,'2. Cost Inputs'!$D$39:$D$44))+
(SUMPRODUCT('2. Cost Inputs'!$B$54:$B$60,'2. Cost Inputs'!$D$54:$D$60)/($B$8*E86)))</f>
        <v>170.18577089970645</v>
      </c>
      <c r="G86" s="150">
        <f t="shared" si="32"/>
        <v>19</v>
      </c>
      <c r="H86" s="148">
        <f t="array" ref="H86">(((SUMPRODUCT('2. Cost Inputs'!$B$67:$B$72,'2. Cost Inputs'!$D$67:$D$72))/G86)/($B$8*'2. Cost Inputs'!$B$11)+
((('2. Cost Inputs'!$B$73*'2. Cost Inputs'!$D$73)+('2. Cost Inputs'!$B$74*'2. Cost Inputs'!$D$74)+(SUM('2. Cost Inputs'!$B$78:$B$80)*SUMPRODUCT('2. Cost Inputs'!$B$67:$B$72,'2. Cost Inputs'!$D$67:$D$72))+(SUM('2. Cost Inputs'!$B$81:$B$82)*SUMPRODUCT('2. Cost Inputs'!$B$67:$B$72,'2. Cost Inputs'!$D$67:$D$72)))/G86/(($B$8*'2. Cost Inputs'!$B$11)))+
(('2. Cost Inputs'!$B$83*'2. Cost Inputs'!$B$84*(1-0.325)+(1-'2. Cost Inputs'!$B$83)*(INDEX(Model!H$1:AK$39,39,MATCH(G86,Model!H$1:AK$1,0))))*SUM($C$22:$C$26))/($B$8*'2.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164.0271422447357</v>
      </c>
      <c r="I86" s="148">
        <f t="shared" si="33"/>
        <v>6.0500000000000007</v>
      </c>
      <c r="J86" s="148">
        <f t="array" ref="J86">(((SUMPRODUCT('2.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Inputs'!$B$24*I86)+('2.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172.98540423303979</v>
      </c>
      <c r="K86" s="148">
        <f t="shared" si="34"/>
        <v>6.0500000000000007</v>
      </c>
      <c r="L86" s="148">
        <f t="array" ref="L86">(((SUMPRODUCT('2.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Inputs'!$B$25*K86)+('2.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168.7854042330398</v>
      </c>
      <c r="M86" s="148">
        <f t="shared" si="35"/>
        <v>6.0500000000000007</v>
      </c>
      <c r="N86" s="148">
        <f t="array" ref="N86">(((SUMPRODUCT('2.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Inputs'!$B$26*M86)+(SUMPRODUCT('2.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169.83540423303978</v>
      </c>
      <c r="O86" s="148">
        <f t="shared" si="36"/>
        <v>0.12342000000000002</v>
      </c>
      <c r="P86" s="148">
        <f t="array" ref="P86">(((SUMPRODUCT('2.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Inputs'!$B$33*O86)+
(SUMPRODUCT('2. Cost Inputs'!$B$34:$B$35,'2. Cost Inputs'!$D$34:$D$35))+
('2. Cost Inputs'!$B$48*24*365*'2. Cost Inputs'!$B$11*'2. Cost Inputs'!$D$48/($B$8*'2. Cost Inputs'!$B$11))+
(SUMPRODUCT('2. Cost Inputs'!$B$39:$B$44,'2. Cost Inputs'!$D$39:$D$44))+
(SUMPRODUCT('2. Cost Inputs'!$B$54:$B$60,'2. Cost Inputs'!$D$54:$D$60)/($B$8*'2. Cost Inputs'!$B$11)))</f>
        <v>172.01940423303978</v>
      </c>
      <c r="Q86" s="151">
        <f t="shared" si="37"/>
        <v>242.00000000000006</v>
      </c>
      <c r="R86" s="148">
        <f t="array" ref="R86">(((SUMPRODUCT('2.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Inputs'!$D$33*Q86)+
(SUMPRODUCT('2. Cost Inputs'!$B$34:$B$35,'2. Cost Inputs'!$D$34:$D$35))+
('2. Cost Inputs'!$B$48*24*365*'2. Cost Inputs'!$B$11*'2. Cost Inputs'!$D$48/($B$8*'2. Cost Inputs'!$B$11))+
(SUMPRODUCT('2. Cost Inputs'!$B$39:$B$44,'2. Cost Inputs'!$D$39:$D$44))+
(SUMPRODUCT('2. Cost Inputs'!$B$54:$B$60,'2. Cost Inputs'!$D$54:$D$60)/($B$8*'2. Cost Inputs'!$B$11)))</f>
        <v>172.01940423303978</v>
      </c>
      <c r="S86" s="148">
        <f t="shared" si="38"/>
        <v>3.6300000000000008</v>
      </c>
      <c r="T86" s="152">
        <f t="array" ref="T86">(((SUMPRODUCT('2.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Inputs'!$B$40:$B$44*S86))+ (SUMPRODUCT('2. Cost Inputs'!$B$41:$B$44,'2. Cost Inputs'!$D$41:$D$44))+ (SUMPRODUCT('2. Cost Inputs'!$B$54:$B$60,'2. Cost Inputs'!$D$54:$D$60)/($B$8*'2. Cost Inputs'!$B$11))</f>
        <v>170.2554042330398</v>
      </c>
      <c r="U86" s="148">
        <f t="shared" si="39"/>
        <v>0.60500000000000009</v>
      </c>
      <c r="V86" s="148">
        <f t="array" ref="V86">(((SUMPRODUCT('2.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(U86*24*365*'2. Cost Inputs'!$B$11*'2. Cost Inputs'!$D$48/($B$8*'2. Cost Inputs'!$B$11))+
(SUMPRODUCT('2. Cost Inputs'!$B$39:$B$44,'2. Cost Inputs'!$D$39:$D$44))+
(SUMPRODUCT('2. Cost Inputs'!$B$54:$B$60,'2. Cost Inputs'!$D$54:$D$60)/($B$8*'2. Cost Inputs'!$B$11)))</f>
        <v>172.36659723303981</v>
      </c>
      <c r="W86" s="148">
        <f t="shared" si="40"/>
        <v>12.818605555555559</v>
      </c>
      <c r="X86" s="148">
        <f t="array" ref="X86">(((SUMPRODUCT('2.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W86)</f>
        <v>169.96012089970645</v>
      </c>
      <c r="Y86" s="148">
        <f t="shared" si="41"/>
        <v>3.6300000000000008</v>
      </c>
      <c r="Z86" s="148">
        <f t="array" ref="Z86">(((('2. Cost Inputs'!$B$67*Y86)+('2.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167.78207089970644</v>
      </c>
      <c r="AA86" s="148">
        <f t="shared" si="42"/>
        <v>8.4700000000000024</v>
      </c>
      <c r="AB86" s="148">
        <f t="array" ref="AB86">(((('2. Cost Inputs'!$B$67*'2. Cost Inputs'!$D$67)+('2. Cost Inputs'!$B$68*AA86)+('2.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168.82429312192866</v>
      </c>
      <c r="AC86" s="148">
        <f t="shared" si="43"/>
        <v>52.030000000000008</v>
      </c>
      <c r="AD86" s="148">
        <f t="array" ref="AD86">(((('2. Cost Inputs'!$B$67*'2. Cost Inputs'!$D$67)+('2. Cost Inputs'!$B$68*'2. Cost Inputs'!$D$68)+('2. Cost Inputs'!$B$69*AC86)+SUMPRODUCT('2.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167.90262645526201</v>
      </c>
      <c r="AE86" s="148">
        <f t="shared" si="44"/>
        <v>17.959246381237392</v>
      </c>
      <c r="AF86" s="148">
        <f>(((SUMPRODUCT('2. Cost Inputs'!$B$67:$B$72,'2. Cost Inputs'!$D$67:$D$72))/'2. Cost Inputs'!B$15)/($B$8*'2. Cost Inputs'!$B$11)+AE86+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170.85229823308924</v>
      </c>
      <c r="AG86" s="149">
        <f t="shared" si="15"/>
        <v>0.9</v>
      </c>
      <c r="AH86" s="148">
        <f t="shared" si="30"/>
        <v>170.18577089970645</v>
      </c>
    </row>
    <row r="87" spans="1:34" ht="15.75" customHeight="1" outlineLevel="1">
      <c r="A87" s="147" t="str">
        <f t="shared" si="16"/>
        <v>Process Equipment 1 Price</v>
      </c>
      <c r="B87" s="148">
        <f t="shared" si="17"/>
        <v>4.4444444444451392E-2</v>
      </c>
      <c r="C87" s="148">
        <f t="array" ref="C87">(((('2. Cost Inputs'!B67*D53)+('2.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167.69095978859534</v>
      </c>
      <c r="D87" s="148">
        <f t="array" ref="D87">(((('2. Cost Inputs'!B67*B53)+('2.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167.8465153441509</v>
      </c>
      <c r="E87" s="149">
        <v>1</v>
      </c>
      <c r="F87" s="147">
        <f t="array" ref="F87">(((SUMPRODUCT('2. Cost Inputs'!$B$67:$B$72,'2. Cost Inputs'!$D$67:$D$72))/'2. Cost Inputs'!$B$15)/($B$8*E87)+
((('2. Cost Inputs'!$B$73*'2. Cost Inputs'!$D$73)+('2. Cost Inputs'!$B$74*'2. Cost Inputs'!$D$74)+(SUM('2. Cost Inputs'!$B$78:$B$80)*SUMPRODUCT('2. Cost Inputs'!$B$67:$B$72,'2. Cost Inputs'!$D$67:$D$72))+(SUM('2. Cost Inputs'!$B$81:$B$82)*SUMPRODUCT('2. Cost Inputs'!$B$67:$B$72,'2. Cost Inputs'!$D$67:$D$72)))/'2. Cost Inputs'!$B$15/(($B$8*E87)))+
(('2. Cost Inputs'!$B$83*'2. Cost Inputs'!$B$84*(1-0.325)+(1-'2. Cost Inputs'!$B$83)*(INDEX(Model!$H$1:$AK$39,39,MATCH('2. Cost Inputs'!$B$15,Model!$H$1:$AK$1,0))))*SUM($C$22:$C$26))/($B$8*E87))+
(('2. Cost Inputs'!$B$24*'2. Cost Inputs'!$D$24)+('2. Cost Inputs'!$B$25*'2. Cost Inputs'!$D$25)+('2. Cost Inputs'!$B$26*'2. Cost Inputs'!$D$26)+(SUMPRODUCT('2. Cost Inputs'!$B$27:$B$29,'2. Cost Inputs'!$D$27:$D$29))+
(SUMPRODUCT('2. Cost Inputs'!$B$33:$B$35,'2. Cost Inputs'!$D$33:$D$35))+
('2. Cost Inputs'!$B$48*24*365*E87*'2. Cost Inputs'!$D$48/($B$9*E87))+
(SUMPRODUCT('2. Cost Inputs'!$B$39:$B$44,'2. Cost Inputs'!$D$39:$D$44))+
(SUMPRODUCT('2. Cost Inputs'!$B$54:$B$60,'2. Cost Inputs'!$D$54:$D$60)/($B$8*E87)))</f>
        <v>167.01385047640247</v>
      </c>
      <c r="G87" s="150">
        <f t="shared" si="32"/>
        <v>21</v>
      </c>
      <c r="H87" s="148">
        <f t="array" ref="H87">(((SUMPRODUCT('2. Cost Inputs'!$B$67:$B$72,'2. Cost Inputs'!$D$67:$D$72))/G87)/($B$8*'2. Cost Inputs'!$B$11)+
((('2. Cost Inputs'!$B$73*'2. Cost Inputs'!$D$73)+('2. Cost Inputs'!$B$74*'2. Cost Inputs'!$D$74)+(SUM('2. Cost Inputs'!$B$78:$B$80)*SUMPRODUCT('2. Cost Inputs'!$B$67:$B$72,'2. Cost Inputs'!$D$67:$D$72))+(SUM('2. Cost Inputs'!$B$81:$B$82)*SUMPRODUCT('2. Cost Inputs'!$B$67:$B$72,'2. Cost Inputs'!$D$67:$D$72)))/G87/(($B$8*'2. Cost Inputs'!$B$11)))+
(('2. Cost Inputs'!$B$83*'2. Cost Inputs'!$B$84*(1-0.325)+(1-'2. Cost Inputs'!$B$83)*(INDEX(Model!H$1:AK$39,39,MATCH(G87,Model!H$1:AK$1,0))))*SUM($C$22:$C$26))/($B$8*'2.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162.70276296319852</v>
      </c>
      <c r="I87" s="148">
        <f t="shared" si="33"/>
        <v>6.6550000000000011</v>
      </c>
      <c r="J87" s="148">
        <f t="array" ref="J8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Inputs'!$B$24*I87)+('2.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176.01040423303979</v>
      </c>
      <c r="K87" s="148">
        <f t="shared" si="34"/>
        <v>6.6550000000000011</v>
      </c>
      <c r="L87" s="148">
        <f t="array" ref="L8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Inputs'!$B$25*K87)+('2.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169.39040423303979</v>
      </c>
      <c r="M87" s="148">
        <f t="shared" si="35"/>
        <v>6.6550000000000011</v>
      </c>
      <c r="N87" s="148">
        <f t="array" ref="N8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Inputs'!$B$26*M87)+(SUMPRODUCT('2.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171.04540423303979</v>
      </c>
      <c r="O87" s="148">
        <f t="shared" si="36"/>
        <v>0.13576200000000002</v>
      </c>
      <c r="P87" s="148">
        <f t="array" ref="P8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Inputs'!$B$33*O87)+
(SUMPRODUCT('2. Cost Inputs'!$B$34:$B$35,'2. Cost Inputs'!$D$34:$D$35))+
('2. Cost Inputs'!$B$48*24*365*'2. Cost Inputs'!$B$11*'2. Cost Inputs'!$D$48/($B$8*'2. Cost Inputs'!$B$11))+
(SUMPRODUCT('2. Cost Inputs'!$B$39:$B$44,'2. Cost Inputs'!$D$39:$D$44))+
(SUMPRODUCT('2. Cost Inputs'!$B$54:$B$60,'2. Cost Inputs'!$D$54:$D$60)/($B$8*'2. Cost Inputs'!$B$11)))</f>
        <v>174.48780423303978</v>
      </c>
      <c r="Q87" s="151">
        <f t="shared" si="37"/>
        <v>266.2000000000001</v>
      </c>
      <c r="R87" s="148">
        <f t="array" ref="R8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Inputs'!$D$33*Q87)+
(SUMPRODUCT('2. Cost Inputs'!$B$34:$B$35,'2. Cost Inputs'!$D$34:$D$35))+
('2. Cost Inputs'!$B$48*24*365*'2. Cost Inputs'!$B$11*'2. Cost Inputs'!$D$48/($B$8*'2. Cost Inputs'!$B$11))+
(SUMPRODUCT('2. Cost Inputs'!$B$39:$B$44,'2. Cost Inputs'!$D$39:$D$44))+
(SUMPRODUCT('2. Cost Inputs'!$B$54:$B$60,'2. Cost Inputs'!$D$54:$D$60)/($B$8*'2. Cost Inputs'!$B$11)))</f>
        <v>174.48780423303978</v>
      </c>
      <c r="S87" s="148">
        <f t="shared" si="38"/>
        <v>3.9930000000000012</v>
      </c>
      <c r="T87" s="152">
        <f t="array" ref="T8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Inputs'!$B$40:$B$44*S87))+ (SUMPRODUCT('2. Cost Inputs'!$B$41:$B$44,'2. Cost Inputs'!$D$41:$D$44))+ (SUMPRODUCT('2. Cost Inputs'!$B$54:$B$60,'2. Cost Inputs'!$D$54:$D$60)/($B$8*'2. Cost Inputs'!$B$11))</f>
        <v>171.7074042330398</v>
      </c>
      <c r="U87" s="148">
        <f t="shared" si="39"/>
        <v>0.6655000000000002</v>
      </c>
      <c r="V87" s="148">
        <f t="array" ref="V8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(U87*24*365*'2. Cost Inputs'!$B$11*'2. Cost Inputs'!$D$48/($B$8*'2. Cost Inputs'!$B$11))+
(SUMPRODUCT('2. Cost Inputs'!$B$39:$B$44,'2. Cost Inputs'!$D$39:$D$44))+
(SUMPRODUCT('2. Cost Inputs'!$B$54:$B$60,'2. Cost Inputs'!$D$54:$D$60)/($B$8*'2. Cost Inputs'!$B$11)))</f>
        <v>175.0350465330398</v>
      </c>
      <c r="W87" s="148">
        <f t="shared" si="40"/>
        <v>14.100466111111116</v>
      </c>
      <c r="X87" s="148">
        <f t="array" ref="X87">(((SUMPRODUCT('2.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W87)</f>
        <v>171.24198145526199</v>
      </c>
      <c r="Y87" s="148">
        <f t="shared" si="41"/>
        <v>3.9930000000000012</v>
      </c>
      <c r="Z87" s="148">
        <f t="array" ref="Z87">(((('2. Cost Inputs'!$B$67*Y87)+('2.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167.80895978859533</v>
      </c>
      <c r="AA87" s="148">
        <f t="shared" si="42"/>
        <v>9.3170000000000037</v>
      </c>
      <c r="AB87" s="148">
        <f t="array" ref="AB87">(((('2. Cost Inputs'!$B$67*'2. Cost Inputs'!$D$67)+('2. Cost Inputs'!$B$68*AA87)+('2.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169.45170052933608</v>
      </c>
      <c r="AC87" s="148">
        <f t="shared" si="43"/>
        <v>57.233000000000011</v>
      </c>
      <c r="AD87" s="148">
        <f t="array" ref="AD87">(((('2. Cost Inputs'!$B$67*'2. Cost Inputs'!$D$67)+('2. Cost Inputs'!$B$68*'2. Cost Inputs'!$D$68)+('2. Cost Inputs'!$B$69*AC87)+SUMPRODUCT('2.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167.99897830711384</v>
      </c>
      <c r="AE87" s="148">
        <f t="shared" si="44"/>
        <v>19.755171019361132</v>
      </c>
      <c r="AF87" s="148">
        <f>(((SUMPRODUCT('2. Cost Inputs'!$B$67:$B$72,'2. Cost Inputs'!$D$67:$D$72))/'2. Cost Inputs'!B$15)/($B$8*'2. Cost Inputs'!$B$11)+AE87+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172.64822287121299</v>
      </c>
      <c r="AG87" s="149">
        <f t="shared" si="15"/>
        <v>1</v>
      </c>
      <c r="AH87" s="148">
        <f t="shared" si="30"/>
        <v>167.01385047640247</v>
      </c>
    </row>
    <row r="88" spans="1:34" ht="15.75" customHeight="1" outlineLevel="1">
      <c r="A88" s="147" t="str">
        <f t="shared" si="16"/>
        <v>Process Equipment 2 Price</v>
      </c>
      <c r="B88" s="148">
        <f t="shared" si="17"/>
        <v>1.0370370370370381</v>
      </c>
      <c r="C88" s="148">
        <f t="array" ref="C88">(((('2. Cost Inputs'!B67*'2. Cost Inputs'!D67)+('2. Cost Inputs'!B68*D54)+('2.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166.69836719600275</v>
      </c>
      <c r="D88" s="148">
        <f t="array" ref="D88">(((('2. Cost Inputs'!B67*'2. Cost Inputs'!D67)+('2. Cost Inputs'!B68*B54)+('2.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170.32799682563237</v>
      </c>
      <c r="G88" s="150">
        <f t="shared" si="32"/>
        <v>23</v>
      </c>
      <c r="H88" s="148">
        <f t="array" ref="H88">(((SUMPRODUCT('2. Cost Inputs'!$B$67:$B$72,'2. Cost Inputs'!$D$67:$D$72))/G88)/($B$8*'2. Cost Inputs'!$B$11)+
((('2. Cost Inputs'!$B$73*'2. Cost Inputs'!$D$73)+('2. Cost Inputs'!$B$74*'2. Cost Inputs'!$D$74)+(SUM('2. Cost Inputs'!$B$78:$B$80)*SUMPRODUCT('2. Cost Inputs'!$B$67:$B$72,'2. Cost Inputs'!$D$67:$D$72))+(SUM('2. Cost Inputs'!$B$81:$B$82)*SUMPRODUCT('2. Cost Inputs'!$B$67:$B$72,'2. Cost Inputs'!$D$67:$D$72)))/G88/(($B$8*'2. Cost Inputs'!$B$11)))+
(('2. Cost Inputs'!$B$83*'2. Cost Inputs'!$B$84*(1-0.325)+(1-'2. Cost Inputs'!$B$83)*(INDEX(Model!H$1:AK$39,39,MATCH(G88,Model!H$1:AK$1,0))))*SUM($C$22:$C$26))/($B$8*'2.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161.60871051323301</v>
      </c>
      <c r="I88" s="148">
        <f t="shared" si="33"/>
        <v>7.3205000000000018</v>
      </c>
      <c r="J88" s="148">
        <f t="array" ref="J8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Inputs'!$B$24*I88)+('2.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179.33790423303981</v>
      </c>
      <c r="K88" s="148">
        <f t="shared" si="34"/>
        <v>7.3205000000000018</v>
      </c>
      <c r="L88" s="148">
        <f t="array" ref="L8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Inputs'!$B$25*K88)+('2.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170.0559042330398</v>
      </c>
      <c r="M88" s="148">
        <f t="shared" si="35"/>
        <v>7.3205000000000018</v>
      </c>
      <c r="N88" s="148">
        <f t="array" ref="N8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Inputs'!$B$26*M88)+(SUMPRODUCT('2.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172.37640423303981</v>
      </c>
      <c r="O88" s="148">
        <f t="shared" si="36"/>
        <v>0.14933820000000003</v>
      </c>
      <c r="P88" s="148">
        <f t="array" ref="P8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Inputs'!$B$33*O88)+
(SUMPRODUCT('2. Cost Inputs'!$B$34:$B$35,'2. Cost Inputs'!$D$34:$D$35))+
('2. Cost Inputs'!$B$48*24*365*'2. Cost Inputs'!$B$11*'2. Cost Inputs'!$D$48/($B$8*'2. Cost Inputs'!$B$11))+
(SUMPRODUCT('2. Cost Inputs'!$B$39:$B$44,'2. Cost Inputs'!$D$39:$D$44))+
(SUMPRODUCT('2. Cost Inputs'!$B$54:$B$60,'2. Cost Inputs'!$D$54:$D$60)/($B$8*'2. Cost Inputs'!$B$11)))</f>
        <v>177.2030442330398</v>
      </c>
      <c r="Q88" s="151">
        <f t="shared" si="37"/>
        <v>292.82000000000016</v>
      </c>
      <c r="R88" s="148">
        <f t="array" ref="R8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Inputs'!$D$33*Q88)+
(SUMPRODUCT('2. Cost Inputs'!$B$34:$B$35,'2. Cost Inputs'!$D$34:$D$35))+
('2. Cost Inputs'!$B$48*24*365*'2. Cost Inputs'!$B$11*'2. Cost Inputs'!$D$48/($B$8*'2. Cost Inputs'!$B$11))+
(SUMPRODUCT('2. Cost Inputs'!$B$39:$B$44,'2. Cost Inputs'!$D$39:$D$44))+
(SUMPRODUCT('2. Cost Inputs'!$B$54:$B$60,'2. Cost Inputs'!$D$54:$D$60)/($B$8*'2. Cost Inputs'!$B$11)))</f>
        <v>177.2030442330398</v>
      </c>
      <c r="S88" s="148">
        <f t="shared" si="38"/>
        <v>4.3923000000000014</v>
      </c>
      <c r="T88" s="152">
        <f t="array" ref="T8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Inputs'!$B$40:$B$44*S88))+ (SUMPRODUCT('2. Cost Inputs'!$B$41:$B$44,'2. Cost Inputs'!$D$41:$D$44))+ (SUMPRODUCT('2. Cost Inputs'!$B$54:$B$60,'2. Cost Inputs'!$D$54:$D$60)/($B$8*'2. Cost Inputs'!$B$11))</f>
        <v>173.30460423303978</v>
      </c>
      <c r="U88" s="148">
        <f t="shared" si="39"/>
        <v>0.73205000000000031</v>
      </c>
      <c r="V88" s="148">
        <f t="array" ref="V8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(U88*24*365*'2. Cost Inputs'!$B$11*'2. Cost Inputs'!$D$48/($B$8*'2. Cost Inputs'!$B$11))+
(SUMPRODUCT('2. Cost Inputs'!$B$39:$B$44,'2. Cost Inputs'!$D$39:$D$44))+
(SUMPRODUCT('2. Cost Inputs'!$B$54:$B$60,'2. Cost Inputs'!$D$54:$D$60)/($B$8*'2. Cost Inputs'!$B$11)))</f>
        <v>177.97034076303981</v>
      </c>
      <c r="W88" s="148">
        <f t="shared" si="40"/>
        <v>15.510512722222229</v>
      </c>
      <c r="X88" s="148">
        <f t="array" ref="X88">(((SUMPRODUCT('2.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W88)</f>
        <v>172.65202806637311</v>
      </c>
      <c r="Y88" s="148">
        <f t="shared" si="41"/>
        <v>4.3923000000000014</v>
      </c>
      <c r="Z88" s="148">
        <f t="array" ref="Z88">(((('2. Cost Inputs'!$B$67*Y88)+('2.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167.83853756637311</v>
      </c>
      <c r="AA88" s="148">
        <f t="shared" si="42"/>
        <v>10.248700000000005</v>
      </c>
      <c r="AB88" s="148">
        <f t="array" ref="AB88">(((('2. Cost Inputs'!$B$67*'2. Cost Inputs'!$D$67)+('2. Cost Inputs'!$B$68*AA88)+('2.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170.14184867748423</v>
      </c>
      <c r="AC88" s="148">
        <f t="shared" si="43"/>
        <v>62.95630000000002</v>
      </c>
      <c r="AD88" s="148">
        <f t="array" ref="AD88">(((('2. Cost Inputs'!$B$67*'2. Cost Inputs'!$D$67)+('2. Cost Inputs'!$B$68*'2. Cost Inputs'!$D$68)+('2. Cost Inputs'!$B$69*AC88)+SUMPRODUCT('2.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168.10496534415088</v>
      </c>
      <c r="AE88" s="148">
        <f t="shared" si="44"/>
        <v>21.730688121297248</v>
      </c>
      <c r="AF88" s="148">
        <f>(((SUMPRODUCT('2. Cost Inputs'!$B$67:$B$72,'2. Cost Inputs'!$D$67:$D$72))/'2. Cost Inputs'!B$15)/($B$8*'2. Cost Inputs'!$B$11)+AE88+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174.6237399731491</v>
      </c>
      <c r="AG88" s="147">
        <f t="shared" si="15"/>
        <v>0</v>
      </c>
      <c r="AH88" s="148">
        <f t="shared" si="30"/>
        <v>0</v>
      </c>
    </row>
    <row r="89" spans="1:34" ht="15.75" customHeight="1" outlineLevel="1">
      <c r="A89" s="147" t="str">
        <f t="shared" si="16"/>
        <v>Process Equipment 3 Price</v>
      </c>
      <c r="B89" s="148">
        <f t="shared" si="17"/>
        <v>0.15925925925927231</v>
      </c>
      <c r="C89" s="148">
        <f t="array" ref="C89">(((('2. Cost Inputs'!B67*'2. Cost Inputs'!D67)+('2. Cost Inputs'!B68*'2. Cost Inputs'!D68)+('2. Cost Inputs'!B69*D55)+SUMPRODUCT('2.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167.57614497378052</v>
      </c>
      <c r="D89" s="148">
        <f t="array" ref="D89">(((('2. Cost Inputs'!B67*'2. Cost Inputs'!D67)+('2. Cost Inputs'!B68*'2. Cost Inputs'!D68)+('2. Cost Inputs'!B69*B55)+SUMPRODUCT('2.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168.13355238118794</v>
      </c>
      <c r="G89" s="150">
        <f t="shared" si="32"/>
        <v>25</v>
      </c>
      <c r="H89" s="148">
        <f t="array" ref="H89">(((SUMPRODUCT('2. Cost Inputs'!$B$67:$B$72,'2. Cost Inputs'!$D$67:$D$72))/G89)/($B$8*'2. Cost Inputs'!$B$11)+
((('2. Cost Inputs'!$B$73*'2. Cost Inputs'!$D$73)+('2. Cost Inputs'!$B$74*'2. Cost Inputs'!$D$74)+(SUM('2. Cost Inputs'!$B$78:$B$80)*SUMPRODUCT('2. Cost Inputs'!$B$67:$B$72,'2. Cost Inputs'!$D$67:$D$72))+(SUM('2. Cost Inputs'!$B$81:$B$82)*SUMPRODUCT('2. Cost Inputs'!$B$67:$B$72,'2. Cost Inputs'!$D$67:$D$72)))/G89/(($B$8*'2. Cost Inputs'!$B$11)))+
(('2. Cost Inputs'!$B$83*'2. Cost Inputs'!$B$84*(1-0.325)+(1-'2. Cost Inputs'!$B$83)*(INDEX(Model!H$1:AK$39,39,MATCH(G89,Model!H$1:AK$1,0))))*SUM($C$22:$C$26))/($B$8*'2.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160.68970645526201</v>
      </c>
      <c r="I89" s="148">
        <f t="shared" si="33"/>
        <v>8.0525500000000019</v>
      </c>
      <c r="J89" s="148">
        <f t="array" ref="J8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Inputs'!$B$24*I89)+('2.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182.9981542330398</v>
      </c>
      <c r="K89" s="148">
        <f t="shared" si="34"/>
        <v>8.0525500000000019</v>
      </c>
      <c r="L89" s="148">
        <f t="array" ref="L8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Inputs'!$B$25*K89)+('2.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170.78795423303978</v>
      </c>
      <c r="M89" s="148">
        <f t="shared" si="35"/>
        <v>8.0525500000000019</v>
      </c>
      <c r="N89" s="148">
        <f t="array" ref="N8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Inputs'!$B$26*M89)+(SUMPRODUCT('2.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173.84050423303981</v>
      </c>
      <c r="O89" s="148">
        <f t="shared" si="36"/>
        <v>0.16427202000000005</v>
      </c>
      <c r="P89" s="148">
        <f t="array" ref="P8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Inputs'!$B$33*O89)+
(SUMPRODUCT('2. Cost Inputs'!$B$34:$B$35,'2. Cost Inputs'!$D$34:$D$35))+
('2. Cost Inputs'!$B$48*24*365*'2. Cost Inputs'!$B$11*'2. Cost Inputs'!$D$48/($B$8*'2. Cost Inputs'!$B$11))+
(SUMPRODUCT('2. Cost Inputs'!$B$39:$B$44,'2. Cost Inputs'!$D$39:$D$44))+
(SUMPRODUCT('2. Cost Inputs'!$B$54:$B$60,'2. Cost Inputs'!$D$54:$D$60)/($B$8*'2. Cost Inputs'!$B$11)))</f>
        <v>180.1898082330398</v>
      </c>
      <c r="Q89" s="151">
        <f t="shared" si="37"/>
        <v>322.1020000000002</v>
      </c>
      <c r="R89" s="148">
        <f t="array" ref="R8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Inputs'!$D$33*Q89)+
(SUMPRODUCT('2. Cost Inputs'!$B$34:$B$35,'2. Cost Inputs'!$D$34:$D$35))+
('2. Cost Inputs'!$B$48*24*365*'2. Cost Inputs'!$B$11*'2. Cost Inputs'!$D$48/($B$8*'2. Cost Inputs'!$B$11))+
(SUMPRODUCT('2. Cost Inputs'!$B$39:$B$44,'2. Cost Inputs'!$D$39:$D$44))+
(SUMPRODUCT('2. Cost Inputs'!$B$54:$B$60,'2. Cost Inputs'!$D$54:$D$60)/($B$8*'2. Cost Inputs'!$B$11)))</f>
        <v>180.1898082330398</v>
      </c>
      <c r="S89" s="148">
        <f t="shared" si="38"/>
        <v>4.8315300000000017</v>
      </c>
      <c r="T89" s="152">
        <f t="array" ref="T8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Inputs'!$B$40:$B$44*S89))+ (SUMPRODUCT('2. Cost Inputs'!$B$41:$B$44,'2. Cost Inputs'!$D$41:$D$44))+ (SUMPRODUCT('2. Cost Inputs'!$B$54:$B$60,'2. Cost Inputs'!$D$54:$D$60)/($B$8*'2. Cost Inputs'!$B$11))</f>
        <v>175.06152423303979</v>
      </c>
      <c r="U89" s="148">
        <f t="shared" si="39"/>
        <v>0.80525500000000039</v>
      </c>
      <c r="V89" s="148">
        <f t="array" ref="V8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(U89*24*365*'2. Cost Inputs'!$B$11*'2. Cost Inputs'!$D$48/($B$8*'2. Cost Inputs'!$B$11))+
(SUMPRODUCT('2. Cost Inputs'!$B$39:$B$44,'2. Cost Inputs'!$D$39:$D$44))+
(SUMPRODUCT('2. Cost Inputs'!$B$54:$B$60,'2. Cost Inputs'!$D$54:$D$60)/($B$8*'2. Cost Inputs'!$B$11)))</f>
        <v>181.19916441603982</v>
      </c>
      <c r="W89" s="148">
        <f t="shared" si="40"/>
        <v>17.061563994444452</v>
      </c>
      <c r="X89" s="148">
        <f t="array" ref="X89">(((SUMPRODUCT('2.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W89)</f>
        <v>174.20307933859533</v>
      </c>
      <c r="Y89" s="148">
        <f t="shared" si="41"/>
        <v>4.8315300000000017</v>
      </c>
      <c r="Z89" s="148">
        <f t="array" ref="Z89">(((('2. Cost Inputs'!$B$67*Y89)+('2.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167.87107312192867</v>
      </c>
      <c r="AA89" s="148">
        <f t="shared" si="42"/>
        <v>11.273570000000007</v>
      </c>
      <c r="AB89" s="148">
        <f t="array" ref="AB89">(((('2. Cost Inputs'!$B$67*'2. Cost Inputs'!$D$67)+('2. Cost Inputs'!$B$68*AA89)+('2.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170.90101164044719</v>
      </c>
      <c r="AC89" s="148">
        <f t="shared" si="43"/>
        <v>69.25193000000003</v>
      </c>
      <c r="AD89" s="148">
        <f t="array" ref="AD89">(((('2. Cost Inputs'!$B$67*'2. Cost Inputs'!$D$67)+('2. Cost Inputs'!$B$68*'2. Cost Inputs'!$D$68)+('2. Cost Inputs'!$B$69*AC89)+SUMPRODUCT('2.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168.22155108489164</v>
      </c>
      <c r="AE89" s="148">
        <f t="shared" si="44"/>
        <v>23.903756933426976</v>
      </c>
      <c r="AF89" s="148">
        <f>(((SUMPRODUCT('2. Cost Inputs'!$B$67:$B$72,'2. Cost Inputs'!$D$67:$D$72))/'2. Cost Inputs'!B$15)/($B$8*'2. Cost Inputs'!$B$11)+AE89+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176.79680878527884</v>
      </c>
      <c r="AG89" s="147">
        <f t="shared" si="15"/>
        <v>0</v>
      </c>
      <c r="AH89" s="148">
        <f t="shared" si="30"/>
        <v>0</v>
      </c>
    </row>
    <row r="90" spans="1:34" ht="15.75" customHeight="1" outlineLevel="1">
      <c r="A90" s="147" t="str">
        <f t="shared" si="16"/>
        <v>Other Capex</v>
      </c>
      <c r="B90" s="148"/>
      <c r="C90" s="148">
        <f>(((SUMPRODUCT('2. Cost Inputs'!B67:B72,'2. Cost Inputs'!D67:D72))/'2. Cost Inputs'!$B$15)/(B8*'2. Cost Inputs'!B11)+B56+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175.15658042363376</v>
      </c>
      <c r="D90" s="148">
        <f>(((SUMPRODUCT('2. Cost Inputs'!B67:B72,'2. Cost Inputs'!D67:D72))/'2. Cost Inputs'!$B$15)/(B8*'2. Cost Inputs'!B11)+D56+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164.76693375680219</v>
      </c>
      <c r="G90" s="150">
        <f t="shared" si="32"/>
        <v>27</v>
      </c>
      <c r="H90" s="148">
        <f t="array" ref="H90">(((SUMPRODUCT('2. Cost Inputs'!$B$67:$B$72,'2. Cost Inputs'!$D$67:$D$72))/G90)/($B$8*'2. Cost Inputs'!$B$11)+
((('2. Cost Inputs'!$B$73*'2. Cost Inputs'!$D$73)+('2. Cost Inputs'!$B$74*'2. Cost Inputs'!$D$74)+(SUM('2. Cost Inputs'!$B$78:$B$80)*SUMPRODUCT('2. Cost Inputs'!$B$67:$B$72,'2. Cost Inputs'!$D$67:$D$72))+(SUM('2. Cost Inputs'!$B$81:$B$82)*SUMPRODUCT('2. Cost Inputs'!$B$67:$B$72,'2. Cost Inputs'!$D$67:$D$72)))/G90/(($B$8*'2. Cost Inputs'!$B$11)))+
(('2. Cost Inputs'!$B$83*'2. Cost Inputs'!$B$84*(1-0.325)+(1-'2. Cost Inputs'!$B$83)*(INDEX(Model!H$1:AK$39,39,MATCH(G90,Model!H$1:AK$1,0))))*SUM($C$22:$C$26))/($B$8*'2.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159.90685114662003</v>
      </c>
      <c r="I90" s="148">
        <f t="shared" si="33"/>
        <v>8.8578050000000026</v>
      </c>
      <c r="J90" s="148">
        <f t="array" ref="J9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Inputs'!$B$24*I90)+('2.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187.0244292330398</v>
      </c>
      <c r="K90" s="148">
        <f t="shared" si="34"/>
        <v>8.8578050000000026</v>
      </c>
      <c r="L90" s="148">
        <f t="array" ref="L9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Inputs'!$B$25*K90)+('2.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171.5932092330398</v>
      </c>
      <c r="M90" s="148">
        <f t="shared" si="35"/>
        <v>8.8578050000000026</v>
      </c>
      <c r="N90" s="148">
        <f t="array" ref="N9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Inputs'!$B$26*M90)+(SUMPRODUCT('2.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175.45101423303979</v>
      </c>
      <c r="O90" s="148">
        <f t="shared" si="36"/>
        <v>0.18069922200000008</v>
      </c>
      <c r="P90" s="148">
        <f t="array" ref="P9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Inputs'!$B$33*O90)+
(SUMPRODUCT('2. Cost Inputs'!$B$34:$B$35,'2. Cost Inputs'!$D$34:$D$35))+
('2. Cost Inputs'!$B$48*24*365*'2. Cost Inputs'!$B$11*'2. Cost Inputs'!$D$48/($B$8*'2. Cost Inputs'!$B$11))+
(SUMPRODUCT('2. Cost Inputs'!$B$39:$B$44,'2. Cost Inputs'!$D$39:$D$44))+
(SUMPRODUCT('2. Cost Inputs'!$B$54:$B$60,'2. Cost Inputs'!$D$54:$D$60)/($B$8*'2. Cost Inputs'!$B$11)))</f>
        <v>183.4752486330398</v>
      </c>
      <c r="Q90" s="151">
        <f t="shared" si="37"/>
        <v>354.31220000000025</v>
      </c>
      <c r="R90" s="148">
        <f t="array" ref="R9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Inputs'!$D$33*Q90)+
(SUMPRODUCT('2. Cost Inputs'!$B$34:$B$35,'2. Cost Inputs'!$D$34:$D$35))+
('2. Cost Inputs'!$B$48*24*365*'2. Cost Inputs'!$B$11*'2. Cost Inputs'!$D$48/($B$8*'2. Cost Inputs'!$B$11))+
(SUMPRODUCT('2. Cost Inputs'!$B$39:$B$44,'2. Cost Inputs'!$D$39:$D$44))+
(SUMPRODUCT('2. Cost Inputs'!$B$54:$B$60,'2. Cost Inputs'!$D$54:$D$60)/($B$8*'2. Cost Inputs'!$B$11)))</f>
        <v>183.4752486330398</v>
      </c>
      <c r="S90" s="148">
        <f t="shared" si="38"/>
        <v>5.3146830000000023</v>
      </c>
      <c r="T90" s="152">
        <f t="array" ref="T9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Inputs'!$B$40:$B$44*S90))+ (SUMPRODUCT('2. Cost Inputs'!$B$41:$B$44,'2. Cost Inputs'!$D$41:$D$44))+ (SUMPRODUCT('2. Cost Inputs'!$B$54:$B$60,'2. Cost Inputs'!$D$54:$D$60)/($B$8*'2. Cost Inputs'!$B$11))</f>
        <v>176.9941362330398</v>
      </c>
      <c r="U90" s="148">
        <f t="shared" si="39"/>
        <v>0.88578050000000053</v>
      </c>
      <c r="V90" s="148">
        <f t="array" ref="V9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(U90*24*365*'2. Cost Inputs'!$B$11*'2. Cost Inputs'!$D$48/($B$8*'2. Cost Inputs'!$B$11))+
(SUMPRODUCT('2. Cost Inputs'!$B$39:$B$44,'2. Cost Inputs'!$D$39:$D$44))+
(SUMPRODUCT('2. Cost Inputs'!$B$54:$B$60,'2. Cost Inputs'!$D$54:$D$60)/($B$8*'2. Cost Inputs'!$B$11)))</f>
        <v>184.75087043433982</v>
      </c>
      <c r="W90" s="148">
        <f t="shared" si="40"/>
        <v>18.767720393888897</v>
      </c>
      <c r="X90" s="148">
        <f t="array" ref="X90">(((SUMPRODUCT('2.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W90)</f>
        <v>175.9092357380398</v>
      </c>
      <c r="Y90" s="148">
        <f t="shared" si="41"/>
        <v>5.3146830000000023</v>
      </c>
      <c r="Z90" s="148">
        <f t="array" ref="Z90">(((('2. Cost Inputs'!$B$67*Y90)+('2.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167.90686223303979</v>
      </c>
      <c r="AA90" s="148">
        <f t="shared" si="42"/>
        <v>12.400927000000008</v>
      </c>
      <c r="AB90" s="148">
        <f t="array" ref="AB90">(((('2. Cost Inputs'!$B$67*'2. Cost Inputs'!$D$67)+('2. Cost Inputs'!$B$68*AA90)+('2.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171.73609089970645</v>
      </c>
      <c r="AC90" s="148">
        <f t="shared" si="43"/>
        <v>76.177123000000037</v>
      </c>
      <c r="AD90" s="148">
        <f t="array" ref="AD90">(((('2. Cost Inputs'!$B$67*'2. Cost Inputs'!$D$67)+('2. Cost Inputs'!$B$68*'2. Cost Inputs'!$D$68)+('2. Cost Inputs'!$B$69*AC90)+SUMPRODUCT('2.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168.34979539970644</v>
      </c>
      <c r="AE90" s="148">
        <f t="shared" si="44"/>
        <v>26.294132626769677</v>
      </c>
      <c r="AF90" s="148">
        <f>(((SUMPRODUCT('2. Cost Inputs'!$B$67:$B$72,'2. Cost Inputs'!$D$67:$D$72))/'2. Cost Inputs'!B$15)/($B$8*'2. Cost Inputs'!$B$11)+AE90+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179.18718447862153</v>
      </c>
      <c r="AG90" s="147">
        <f t="shared" si="15"/>
        <v>0</v>
      </c>
      <c r="AH90" s="148">
        <f t="shared" si="30"/>
        <v>0</v>
      </c>
    </row>
    <row r="91" spans="1:34" ht="15.75" customHeight="1" outlineLevel="1">
      <c r="G91" s="150">
        <f t="shared" si="32"/>
        <v>29</v>
      </c>
      <c r="H91" s="148">
        <f t="array" ref="H91">(((SUMPRODUCT('2. Cost Inputs'!$B$67:$B$72,'2. Cost Inputs'!$D$67:$D$72))/G91)/($B$8*'2. Cost Inputs'!$B$11)+
((('2. Cost Inputs'!$B$73*'2. Cost Inputs'!$D$73)+('2. Cost Inputs'!$B$74*'2. Cost Inputs'!$D$74)+(SUM('2. Cost Inputs'!$B$78:$B$80)*SUMPRODUCT('2. Cost Inputs'!$B$67:$B$72,'2. Cost Inputs'!$D$67:$D$72))+(SUM('2. Cost Inputs'!$B$81:$B$82)*SUMPRODUCT('2. Cost Inputs'!$B$67:$B$72,'2. Cost Inputs'!$D$67:$D$72)))/G91/(($B$8*'2. Cost Inputs'!$B$11)))+
(('2. Cost Inputs'!$B$83*'2. Cost Inputs'!$B$84*(1-0.325)+(1-'2. Cost Inputs'!$B$83)*(INDEX(Model!H$1:AK$39,39,MATCH(G91,Model!H$1:AK$1,0))))*SUM($C$22:$C$26))/($B$8*'2.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159.23197588054936</v>
      </c>
      <c r="I91" s="148">
        <f t="shared" si="33"/>
        <v>9.7435855000000036</v>
      </c>
      <c r="J91" s="148">
        <f t="array" ref="J9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Inputs'!$B$24*I91)+('2.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191.45333173303982</v>
      </c>
      <c r="K91" s="148">
        <f t="shared" si="34"/>
        <v>9.7435855000000036</v>
      </c>
      <c r="L91" s="148">
        <f t="array" ref="L9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Inputs'!$B$25*K91)+('2.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172.47898973303978</v>
      </c>
      <c r="M91" s="148">
        <f t="shared" si="35"/>
        <v>9.7435855000000036</v>
      </c>
      <c r="N91" s="148">
        <f t="array" ref="N9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Inputs'!$B$26*M91)+(SUMPRODUCT('2.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177.22257523303981</v>
      </c>
      <c r="O91" s="148">
        <f t="shared" si="36"/>
        <v>0.19876914420000011</v>
      </c>
      <c r="P91" s="148">
        <f t="array" ref="P9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Inputs'!$B$33*O91)+
(SUMPRODUCT('2. Cost Inputs'!$B$34:$B$35,'2. Cost Inputs'!$D$34:$D$35))+
('2. Cost Inputs'!$B$48*24*365*'2. Cost Inputs'!$B$11*'2. Cost Inputs'!$D$48/($B$8*'2. Cost Inputs'!$B$11))+
(SUMPRODUCT('2. Cost Inputs'!$B$39:$B$44,'2. Cost Inputs'!$D$39:$D$44))+
(SUMPRODUCT('2. Cost Inputs'!$B$54:$B$60,'2. Cost Inputs'!$D$54:$D$60)/($B$8*'2. Cost Inputs'!$B$11)))</f>
        <v>187.08923307303979</v>
      </c>
      <c r="Q91" s="151">
        <f t="shared" si="37"/>
        <v>389.7434200000003</v>
      </c>
      <c r="R91" s="148">
        <f t="array" ref="R9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('2. Cost Inputs'!$D$33*Q91)+
(SUMPRODUCT('2. Cost Inputs'!$B$34:$B$35,'2. Cost Inputs'!$D$34:$D$35))+
('2. Cost Inputs'!$B$48*24*365*'2. Cost Inputs'!$B$11*'2. Cost Inputs'!$D$48/($B$8*'2. Cost Inputs'!$B$11))+
(SUMPRODUCT('2. Cost Inputs'!$B$39:$B$44,'2. Cost Inputs'!$D$39:$D$44))+
(SUMPRODUCT('2. Cost Inputs'!$B$54:$B$60,'2. Cost Inputs'!$D$54:$D$60)/($B$8*'2. Cost Inputs'!$B$11)))</f>
        <v>187.08923307303982</v>
      </c>
      <c r="S91" s="148">
        <f t="shared" si="38"/>
        <v>5.8461513000000034</v>
      </c>
      <c r="T91" s="152">
        <f t="array" ref="T9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('2. Cost Inputs'!$B$39*'2. Cost Inputs'!$D$39))+ (SUMPRODUCT('2. Cost Inputs'!$B$40:$B$44*S91))+ (SUMPRODUCT('2. Cost Inputs'!$B$41:$B$44,'2. Cost Inputs'!$D$41:$D$44))+ (SUMPRODUCT('2. Cost Inputs'!$B$54:$B$60,'2. Cost Inputs'!$D$54:$D$60)/($B$8*'2. Cost Inputs'!$B$11))</f>
        <v>179.1200094330398</v>
      </c>
      <c r="U91" s="148">
        <f t="shared" si="39"/>
        <v>0.97435855000000071</v>
      </c>
      <c r="V91" s="148">
        <f t="array" ref="V9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(U91*24*365*'2. Cost Inputs'!$B$11*'2. Cost Inputs'!$D$48/($B$8*'2. Cost Inputs'!$B$11))+
(SUMPRODUCT('2. Cost Inputs'!$B$39:$B$44,'2. Cost Inputs'!$D$39:$D$44))+
(SUMPRODUCT('2. Cost Inputs'!$B$54:$B$60,'2. Cost Inputs'!$D$54:$D$60)/($B$8*'2. Cost Inputs'!$B$11)))</f>
        <v>188.65774705446984</v>
      </c>
      <c r="W91" s="148">
        <f t="shared" si="40"/>
        <v>20.64449243327779</v>
      </c>
      <c r="X91" s="148">
        <f t="array" ref="X91">(((SUMPRODUCT('2. Cost Inputs'!$B$67:$B$72,'2. Cost Inputs'!$D$67:$D$72))/'2.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W91)</f>
        <v>177.78600777742869</v>
      </c>
      <c r="Y91" s="148">
        <f t="shared" si="41"/>
        <v>5.8461513000000034</v>
      </c>
      <c r="Z91" s="148">
        <f t="array" ref="Z91">(((('2. Cost Inputs'!$B$67*Y91)+('2. Cost Inputs'!$B$68*'2. Cost Inputs'!$D$68)+('2.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167.94623025526201</v>
      </c>
      <c r="AA91" s="148">
        <f t="shared" si="42"/>
        <v>13.64101970000001</v>
      </c>
      <c r="AB91" s="148">
        <f t="array" ref="AB91">(((('2. Cost Inputs'!$B$67*'2. Cost Inputs'!$D$67)+('2. Cost Inputs'!$B$68*AA91)+('2. Cost Inputs'!$B$69*'2. Cost Inputs'!$D$69)+SUMPRODUCT('2.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172.65467808489163</v>
      </c>
      <c r="AC91" s="148">
        <f t="shared" si="43"/>
        <v>83.794835300000045</v>
      </c>
      <c r="AD91" s="148">
        <f t="array" ref="AD91">(((('2. Cost Inputs'!$B$67*'2. Cost Inputs'!$D$67)+('2. Cost Inputs'!$B$68*'2. Cost Inputs'!$D$68)+('2. Cost Inputs'!$B$69*AC91)+SUMPRODUCT('2. Cost Inputs'!$B$70:$B$72,'2. Cost Inputs'!$D$70:$D$72))/'2. Cost Inputs'!B$15)/($B$8*'2. Cost Inputs'!$B$11)+
((('2. Cost Inputs'!$B$73*'2. Cost Inputs'!$D$73)+('2. Cost Inputs'!$B$74*'2. Cost Inputs'!$D$74)+(SUM('2. Cost Inputs'!$B$78:$B$80)*SUMPRODUCT('2. Cost Inputs'!$B$67:$B$72,'2. Cost Inputs'!$D$67:$D$72))+(SUM('2. Cost Inputs'!$B$81:$B$82)*SUMPRODUCT('2. Cost Inputs'!$B$67:$B$72,'2. Cost Inputs'!$D$67:$D$72)))/'2. Cost Inputs'!$B$15/(($B$8*'2. Cost Inputs'!$B$11)))+
(('2. Cost Inputs'!$B$83*'2. Cost Inputs'!$B$84*(1-0.325)+(1-'2. Cost Inputs'!$B$83)*(INDEX(Model!H$1:AK$39,39,MATCH('2. Cost Inputs'!$B$15,Model!H$1:AK$1,0))))*SUM($C$22:$C$26))/($B$8*'2. Cost Inputs'!$B$11))+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168.49086414600274</v>
      </c>
      <c r="AE91" s="148">
        <f t="shared" si="44"/>
        <v>28.923545889446647</v>
      </c>
      <c r="AF91" s="148">
        <f>(((SUMPRODUCT('2. Cost Inputs'!$B$67:$B$72,'2. Cost Inputs'!$D$67:$D$72))/'2. Cost Inputs'!B$15)/($B$8*'2. Cost Inputs'!$B$11)+AE91+
(('2. Cost Inputs'!$B$24*'2. Cost Inputs'!$D$24)+('2. Cost Inputs'!$B$25*'2. Cost Inputs'!$D$25)+('2. Cost Inputs'!$B$26*'2. Cost Inputs'!$D$26)+(SUMPRODUCT('2. Cost Inputs'!$B$27:$B$29,'2. Cost Inputs'!$D$27:$D$29))+
(SUMPRODUCT('2. Cost Inputs'!$B$33:$B$35,'2. Cost Inputs'!$D$33:$D$35))+
('2. Cost Inputs'!$B$48*24*365*'2. Cost Inputs'!$B$11*'2. Cost Inputs'!$D$48/($B$8*'2. Cost Inputs'!$B$11))+
(SUMPRODUCT('2. Cost Inputs'!$B$39:$B$44,'2. Cost Inputs'!$D$39:$D$44))+
(SUMPRODUCT('2. Cost Inputs'!$B$54:$B$60,'2. Cost Inputs'!$D$54:$D$60)/($B$8*'2. Cost Inputs'!$B$11))))</f>
        <v>181.81659774129849</v>
      </c>
      <c r="AG91" s="147">
        <f t="shared" si="15"/>
        <v>0</v>
      </c>
      <c r="AH91" s="148">
        <f t="shared" si="30"/>
        <v>0</v>
      </c>
    </row>
    <row r="92" spans="1:34" ht="15.75" customHeight="1" outlineLevel="1">
      <c r="E92" s="153"/>
      <c r="F92" s="153"/>
    </row>
    <row r="93" spans="1:34" ht="15.75" customHeight="1"/>
  </sheetData>
  <mergeCells count="4">
    <mergeCell ref="A1:I3"/>
    <mergeCell ref="A5:I6"/>
    <mergeCell ref="F8:H8"/>
    <mergeCell ref="A38:I39"/>
  </mergeCells>
  <conditionalFormatting sqref="A1:I3">
    <cfRule type="notContainsBlanks" dxfId="17" priority="1">
      <formula>LEN(TRIM(A1))&gt;0</formula>
    </cfRule>
  </conditionalFormatting>
  <dataValidations count="1">
    <dataValidation type="list" allowBlank="1" showErrorMessage="1" sqref="F71" xr:uid="{00000000-0002-0000-0300-000000000000}">
      <formula1>$A$43:$A$56</formula1>
    </dataValidation>
  </dataValidations>
  <pageMargins left="0.7" right="0.7" top="0.75" bottom="0.75" header="0" footer="0"/>
  <pageSetup paperSize="12"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1000000}">
          <x14:formula1>
            <xm:f>Model!$H$4:$AK$4</xm:f>
          </x14:formula1>
          <xm:sqref>F20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outlinePr summaryBelow="0" summaryRight="0"/>
  </sheetPr>
  <dimension ref="A1:AK124"/>
  <sheetViews>
    <sheetView showGridLines="0" workbookViewId="0">
      <pane xSplit="3" ySplit="1" topLeftCell="D2" activePane="bottomRight" state="frozen"/>
      <selection pane="bottomRight" activeCell="D2" sqref="D2"/>
      <selection pane="bottomLeft" activeCell="A2" sqref="A2"/>
      <selection pane="topRight" activeCell="D1" sqref="D1"/>
    </sheetView>
  </sheetViews>
  <sheetFormatPr defaultColWidth="14.42578125" defaultRowHeight="15" customHeight="1" outlineLevelRow="1"/>
  <cols>
    <col min="1" max="2" width="2.7109375" customWidth="1"/>
    <col min="3" max="3" width="28.140625" customWidth="1"/>
    <col min="4" max="4" width="9.28515625" customWidth="1"/>
    <col min="5" max="5" width="14.140625" customWidth="1"/>
    <col min="6" max="6" width="5.28515625" customWidth="1"/>
    <col min="7" max="7" width="5.42578125" customWidth="1"/>
    <col min="8" max="8" width="11.42578125" customWidth="1"/>
    <col min="9" max="9" width="12.140625" customWidth="1"/>
    <col min="10" max="11" width="12.7109375" customWidth="1"/>
    <col min="12" max="12" width="11.28515625" customWidth="1"/>
    <col min="13" max="21" width="12.7109375" customWidth="1"/>
    <col min="22" max="27" width="13.140625" customWidth="1"/>
    <col min="28" max="31" width="10.7109375" customWidth="1"/>
    <col min="32" max="33" width="12.7109375" customWidth="1"/>
    <col min="34" max="37" width="10.7109375" customWidth="1"/>
  </cols>
  <sheetData>
    <row r="1" spans="1:37" ht="13.5" customHeight="1">
      <c r="A1" s="154"/>
      <c r="B1" s="154"/>
      <c r="C1" s="154"/>
      <c r="D1" s="154"/>
      <c r="E1" s="155" t="s">
        <v>258</v>
      </c>
      <c r="F1" s="156" t="s">
        <v>259</v>
      </c>
      <c r="G1" s="156" t="s">
        <v>260</v>
      </c>
      <c r="H1" s="157">
        <v>1</v>
      </c>
      <c r="I1" s="157">
        <f t="shared" ref="I1:AK1" si="0">H1+1</f>
        <v>2</v>
      </c>
      <c r="J1" s="157">
        <f t="shared" si="0"/>
        <v>3</v>
      </c>
      <c r="K1" s="157">
        <f t="shared" si="0"/>
        <v>4</v>
      </c>
      <c r="L1" s="157">
        <f t="shared" si="0"/>
        <v>5</v>
      </c>
      <c r="M1" s="157">
        <f t="shared" si="0"/>
        <v>6</v>
      </c>
      <c r="N1" s="157">
        <f t="shared" si="0"/>
        <v>7</v>
      </c>
      <c r="O1" s="157">
        <f t="shared" si="0"/>
        <v>8</v>
      </c>
      <c r="P1" s="157">
        <f t="shared" si="0"/>
        <v>9</v>
      </c>
      <c r="Q1" s="157">
        <f t="shared" si="0"/>
        <v>10</v>
      </c>
      <c r="R1" s="157">
        <f t="shared" si="0"/>
        <v>11</v>
      </c>
      <c r="S1" s="157">
        <f t="shared" si="0"/>
        <v>12</v>
      </c>
      <c r="T1" s="157">
        <f t="shared" si="0"/>
        <v>13</v>
      </c>
      <c r="U1" s="157">
        <f t="shared" si="0"/>
        <v>14</v>
      </c>
      <c r="V1" s="157">
        <f t="shared" si="0"/>
        <v>15</v>
      </c>
      <c r="W1" s="157">
        <f t="shared" si="0"/>
        <v>16</v>
      </c>
      <c r="X1" s="157">
        <f t="shared" si="0"/>
        <v>17</v>
      </c>
      <c r="Y1" s="157">
        <f t="shared" si="0"/>
        <v>18</v>
      </c>
      <c r="Z1" s="157">
        <f t="shared" si="0"/>
        <v>19</v>
      </c>
      <c r="AA1" s="157">
        <f t="shared" si="0"/>
        <v>20</v>
      </c>
      <c r="AB1" s="157">
        <f t="shared" si="0"/>
        <v>21</v>
      </c>
      <c r="AC1" s="157">
        <f t="shared" si="0"/>
        <v>22</v>
      </c>
      <c r="AD1" s="157">
        <f t="shared" si="0"/>
        <v>23</v>
      </c>
      <c r="AE1" s="157">
        <f t="shared" si="0"/>
        <v>24</v>
      </c>
      <c r="AF1" s="157">
        <f t="shared" si="0"/>
        <v>25</v>
      </c>
      <c r="AG1" s="157">
        <f t="shared" si="0"/>
        <v>26</v>
      </c>
      <c r="AH1" s="157">
        <f t="shared" si="0"/>
        <v>27</v>
      </c>
      <c r="AI1" s="157">
        <f t="shared" si="0"/>
        <v>28</v>
      </c>
      <c r="AJ1" s="157">
        <f t="shared" si="0"/>
        <v>29</v>
      </c>
      <c r="AK1" s="157">
        <f t="shared" si="0"/>
        <v>30</v>
      </c>
    </row>
    <row r="2" spans="1:37" ht="13.5" customHeight="1">
      <c r="A2" s="154"/>
      <c r="B2" s="154"/>
      <c r="C2" s="154"/>
      <c r="D2" s="158"/>
      <c r="E2" s="159" t="s">
        <v>261</v>
      </c>
      <c r="F2" s="160">
        <f>1</f>
        <v>1</v>
      </c>
      <c r="G2" s="160">
        <f>'2. Cost Inputs'!B15</f>
        <v>15</v>
      </c>
      <c r="H2" s="161">
        <f t="shared" ref="H2:AK2" si="1">IF(AND(H$1&gt;=$F2,H$1&lt;=$G2),1,0)</f>
        <v>1</v>
      </c>
      <c r="I2" s="161">
        <f t="shared" si="1"/>
        <v>1</v>
      </c>
      <c r="J2" s="161">
        <f t="shared" si="1"/>
        <v>1</v>
      </c>
      <c r="K2" s="161">
        <f t="shared" si="1"/>
        <v>1</v>
      </c>
      <c r="L2" s="161">
        <f t="shared" si="1"/>
        <v>1</v>
      </c>
      <c r="M2" s="161">
        <f t="shared" si="1"/>
        <v>1</v>
      </c>
      <c r="N2" s="161">
        <f t="shared" si="1"/>
        <v>1</v>
      </c>
      <c r="O2" s="161">
        <f t="shared" si="1"/>
        <v>1</v>
      </c>
      <c r="P2" s="161">
        <f t="shared" si="1"/>
        <v>1</v>
      </c>
      <c r="Q2" s="161">
        <f t="shared" si="1"/>
        <v>1</v>
      </c>
      <c r="R2" s="161">
        <f t="shared" si="1"/>
        <v>1</v>
      </c>
      <c r="S2" s="161">
        <f t="shared" si="1"/>
        <v>1</v>
      </c>
      <c r="T2" s="161">
        <f t="shared" si="1"/>
        <v>1</v>
      </c>
      <c r="U2" s="161">
        <f t="shared" si="1"/>
        <v>1</v>
      </c>
      <c r="V2" s="161">
        <f t="shared" si="1"/>
        <v>1</v>
      </c>
      <c r="W2" s="161">
        <f t="shared" si="1"/>
        <v>0</v>
      </c>
      <c r="X2" s="161">
        <f t="shared" si="1"/>
        <v>0</v>
      </c>
      <c r="Y2" s="161">
        <f t="shared" si="1"/>
        <v>0</v>
      </c>
      <c r="Z2" s="161">
        <f t="shared" si="1"/>
        <v>0</v>
      </c>
      <c r="AA2" s="161">
        <f t="shared" si="1"/>
        <v>0</v>
      </c>
      <c r="AB2" s="161">
        <f t="shared" si="1"/>
        <v>0</v>
      </c>
      <c r="AC2" s="161">
        <f t="shared" si="1"/>
        <v>0</v>
      </c>
      <c r="AD2" s="161">
        <f t="shared" si="1"/>
        <v>0</v>
      </c>
      <c r="AE2" s="161">
        <f t="shared" si="1"/>
        <v>0</v>
      </c>
      <c r="AF2" s="161">
        <f t="shared" si="1"/>
        <v>0</v>
      </c>
      <c r="AG2" s="161">
        <f t="shared" si="1"/>
        <v>0</v>
      </c>
      <c r="AH2" s="161">
        <f t="shared" si="1"/>
        <v>0</v>
      </c>
      <c r="AI2" s="161">
        <f t="shared" si="1"/>
        <v>0</v>
      </c>
      <c r="AJ2" s="161">
        <f t="shared" si="1"/>
        <v>0</v>
      </c>
      <c r="AK2" s="161">
        <f t="shared" si="1"/>
        <v>0</v>
      </c>
    </row>
    <row r="3" spans="1:37" ht="15" customHeight="1" collapsed="1">
      <c r="A3" s="154"/>
      <c r="B3" s="154"/>
      <c r="C3" s="154"/>
      <c r="D3" s="158"/>
      <c r="E3" s="319" t="s">
        <v>262</v>
      </c>
      <c r="F3" s="383"/>
      <c r="G3" s="383"/>
      <c r="H3" s="439">
        <f t="shared" ref="H3:AK3" si="2">SUM(H2:$AK2)*H2</f>
        <v>15</v>
      </c>
      <c r="I3" s="439">
        <f t="shared" si="2"/>
        <v>14</v>
      </c>
      <c r="J3" s="439">
        <f t="shared" si="2"/>
        <v>13</v>
      </c>
      <c r="K3" s="439">
        <f t="shared" si="2"/>
        <v>12</v>
      </c>
      <c r="L3" s="439">
        <f t="shared" si="2"/>
        <v>11</v>
      </c>
      <c r="M3" s="439">
        <f t="shared" si="2"/>
        <v>10</v>
      </c>
      <c r="N3" s="439">
        <f t="shared" si="2"/>
        <v>9</v>
      </c>
      <c r="O3" s="439">
        <f t="shared" si="2"/>
        <v>8</v>
      </c>
      <c r="P3" s="439">
        <f t="shared" si="2"/>
        <v>7</v>
      </c>
      <c r="Q3" s="439">
        <f t="shared" si="2"/>
        <v>6</v>
      </c>
      <c r="R3" s="439">
        <f t="shared" si="2"/>
        <v>5</v>
      </c>
      <c r="S3" s="439">
        <f t="shared" si="2"/>
        <v>4</v>
      </c>
      <c r="T3" s="439">
        <f t="shared" si="2"/>
        <v>3</v>
      </c>
      <c r="U3" s="439">
        <f t="shared" si="2"/>
        <v>2</v>
      </c>
      <c r="V3" s="439">
        <f t="shared" si="2"/>
        <v>1</v>
      </c>
      <c r="W3" s="439">
        <f t="shared" si="2"/>
        <v>0</v>
      </c>
      <c r="X3" s="439">
        <f t="shared" si="2"/>
        <v>0</v>
      </c>
      <c r="Y3" s="439">
        <f t="shared" si="2"/>
        <v>0</v>
      </c>
      <c r="Z3" s="439">
        <f t="shared" si="2"/>
        <v>0</v>
      </c>
      <c r="AA3" s="439">
        <f t="shared" si="2"/>
        <v>0</v>
      </c>
      <c r="AB3" s="439">
        <f t="shared" si="2"/>
        <v>0</v>
      </c>
      <c r="AC3" s="439">
        <f t="shared" si="2"/>
        <v>0</v>
      </c>
      <c r="AD3" s="439">
        <f t="shared" si="2"/>
        <v>0</v>
      </c>
      <c r="AE3" s="439">
        <f t="shared" si="2"/>
        <v>0</v>
      </c>
      <c r="AF3" s="439">
        <f t="shared" si="2"/>
        <v>0</v>
      </c>
      <c r="AG3" s="439">
        <f t="shared" si="2"/>
        <v>0</v>
      </c>
      <c r="AH3" s="439">
        <f t="shared" si="2"/>
        <v>0</v>
      </c>
      <c r="AI3" s="439">
        <f t="shared" si="2"/>
        <v>0</v>
      </c>
      <c r="AJ3" s="439">
        <f t="shared" si="2"/>
        <v>0</v>
      </c>
      <c r="AK3" s="439">
        <f t="shared" si="2"/>
        <v>0</v>
      </c>
    </row>
    <row r="4" spans="1:37" ht="13.5" hidden="1" customHeight="1" outlineLevel="1">
      <c r="A4" s="154"/>
      <c r="B4" s="162"/>
      <c r="C4" s="154"/>
      <c r="D4" s="158"/>
      <c r="E4" s="163"/>
      <c r="F4" s="164"/>
      <c r="G4" s="164"/>
      <c r="H4" s="165">
        <f t="shared" ref="H4:AK4" si="3">IF(H2*H1=0,"",H2*H1)</f>
        <v>1</v>
      </c>
      <c r="I4" s="165">
        <f t="shared" si="3"/>
        <v>2</v>
      </c>
      <c r="J4" s="165">
        <f t="shared" si="3"/>
        <v>3</v>
      </c>
      <c r="K4" s="165">
        <f t="shared" si="3"/>
        <v>4</v>
      </c>
      <c r="L4" s="165">
        <f t="shared" si="3"/>
        <v>5</v>
      </c>
      <c r="M4" s="165">
        <f t="shared" si="3"/>
        <v>6</v>
      </c>
      <c r="N4" s="165">
        <f t="shared" si="3"/>
        <v>7</v>
      </c>
      <c r="O4" s="165">
        <f t="shared" si="3"/>
        <v>8</v>
      </c>
      <c r="P4" s="165">
        <f t="shared" si="3"/>
        <v>9</v>
      </c>
      <c r="Q4" s="165">
        <f t="shared" si="3"/>
        <v>10</v>
      </c>
      <c r="R4" s="165">
        <f t="shared" si="3"/>
        <v>11</v>
      </c>
      <c r="S4" s="165">
        <f t="shared" si="3"/>
        <v>12</v>
      </c>
      <c r="T4" s="165">
        <f t="shared" si="3"/>
        <v>13</v>
      </c>
      <c r="U4" s="165">
        <f t="shared" si="3"/>
        <v>14</v>
      </c>
      <c r="V4" s="165">
        <f t="shared" si="3"/>
        <v>15</v>
      </c>
      <c r="W4" s="165" t="str">
        <f t="shared" si="3"/>
        <v/>
      </c>
      <c r="X4" s="165" t="str">
        <f t="shared" si="3"/>
        <v/>
      </c>
      <c r="Y4" s="165" t="str">
        <f t="shared" si="3"/>
        <v/>
      </c>
      <c r="Z4" s="165" t="str">
        <f t="shared" si="3"/>
        <v/>
      </c>
      <c r="AA4" s="165" t="str">
        <f t="shared" si="3"/>
        <v/>
      </c>
      <c r="AB4" s="165" t="str">
        <f t="shared" si="3"/>
        <v/>
      </c>
      <c r="AC4" s="165" t="str">
        <f t="shared" si="3"/>
        <v/>
      </c>
      <c r="AD4" s="165" t="str">
        <f t="shared" si="3"/>
        <v/>
      </c>
      <c r="AE4" s="165" t="str">
        <f t="shared" si="3"/>
        <v/>
      </c>
      <c r="AF4" s="165" t="str">
        <f t="shared" si="3"/>
        <v/>
      </c>
      <c r="AG4" s="165" t="str">
        <f t="shared" si="3"/>
        <v/>
      </c>
      <c r="AH4" s="165" t="str">
        <f t="shared" si="3"/>
        <v/>
      </c>
      <c r="AI4" s="165" t="str">
        <f t="shared" si="3"/>
        <v/>
      </c>
      <c r="AJ4" s="165" t="str">
        <f t="shared" si="3"/>
        <v/>
      </c>
      <c r="AK4" s="165" t="str">
        <f t="shared" si="3"/>
        <v/>
      </c>
    </row>
    <row r="5" spans="1:37" ht="13.5" customHeight="1">
      <c r="A5" s="154"/>
      <c r="B5" s="162" t="s">
        <v>263</v>
      </c>
      <c r="C5" s="154"/>
      <c r="D5" s="158"/>
      <c r="E5" s="163"/>
      <c r="F5" s="164"/>
      <c r="G5" s="166"/>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row>
    <row r="6" spans="1:37" ht="13.5" customHeight="1">
      <c r="A6" s="440"/>
      <c r="B6" s="440"/>
      <c r="C6" s="441" t="s">
        <v>264</v>
      </c>
      <c r="D6" s="442"/>
      <c r="E6" s="443">
        <f>H6</f>
        <v>-475584.60000000003</v>
      </c>
      <c r="F6" s="440"/>
      <c r="G6" s="444"/>
      <c r="H6" s="443">
        <f>-(SUMPRODUCT('2. Cost Inputs'!B67:B74,'2. Cost Inputs'!D67:D74)+SUM('2. Cost Inputs'!B78:B82)*SUMPRODUCT('2. Cost Inputs'!B67:B72,'2. Cost Inputs'!D67:D72))</f>
        <v>-475584.60000000003</v>
      </c>
      <c r="I6" s="443"/>
      <c r="J6" s="443"/>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row>
    <row r="7" spans="1:37" ht="13.5" customHeight="1">
      <c r="A7" s="440"/>
      <c r="B7" s="440"/>
      <c r="C7" s="441" t="s">
        <v>265</v>
      </c>
      <c r="D7" s="442"/>
      <c r="E7" s="443">
        <f>SUM(H7:AK7)</f>
        <v>-475584.60000000003</v>
      </c>
      <c r="F7" s="440"/>
      <c r="G7" s="444"/>
      <c r="H7" s="443">
        <f>SUM(H8:H9)</f>
        <v>-475584.60000000003</v>
      </c>
      <c r="I7" s="443"/>
      <c r="J7" s="443"/>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row>
    <row r="8" spans="1:37" ht="13.5" customHeight="1" outlineLevel="1">
      <c r="A8" s="154"/>
      <c r="B8" s="154"/>
      <c r="C8" s="168" t="s">
        <v>266</v>
      </c>
      <c r="D8" s="158"/>
      <c r="E8" s="169">
        <f t="shared" ref="E8:E9" si="4">H8</f>
        <v>-428026.14</v>
      </c>
      <c r="F8" s="154"/>
      <c r="G8" s="170"/>
      <c r="H8" s="169">
        <f>E6*(1-'2. Cost Inputs'!B83)</f>
        <v>-428026.14</v>
      </c>
      <c r="I8" s="169"/>
      <c r="J8" s="169"/>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row>
    <row r="9" spans="1:37" ht="13.5" customHeight="1" outlineLevel="1">
      <c r="A9" s="154"/>
      <c r="B9" s="154"/>
      <c r="C9" s="168" t="s">
        <v>267</v>
      </c>
      <c r="D9" s="158"/>
      <c r="E9" s="169">
        <f t="shared" si="4"/>
        <v>-47558.460000000006</v>
      </c>
      <c r="F9" s="154"/>
      <c r="G9" s="170"/>
      <c r="H9" s="169">
        <f>E6*'2. Cost Inputs'!B83</f>
        <v>-47558.460000000006</v>
      </c>
      <c r="I9" s="169"/>
      <c r="J9" s="169"/>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row>
    <row r="10" spans="1:37" ht="13.5" customHeight="1">
      <c r="A10" s="154"/>
      <c r="B10" s="162" t="s">
        <v>268</v>
      </c>
      <c r="C10" s="168"/>
      <c r="D10" s="158"/>
      <c r="E10" s="169"/>
      <c r="F10" s="154"/>
      <c r="G10" s="170"/>
      <c r="H10" s="169"/>
      <c r="I10" s="169"/>
      <c r="J10" s="169"/>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row>
    <row r="11" spans="1:37" ht="13.5" customHeight="1" collapsed="1">
      <c r="A11" s="440"/>
      <c r="B11" s="440"/>
      <c r="C11" s="441" t="s">
        <v>269</v>
      </c>
      <c r="D11" s="442"/>
      <c r="E11" s="443">
        <f>SUM(H11:AK11)</f>
        <v>-84951.952450549477</v>
      </c>
      <c r="F11" s="440"/>
      <c r="G11" s="444"/>
      <c r="H11" s="445">
        <f t="shared" ref="H11:AK11" si="5">H13+H14</f>
        <v>0</v>
      </c>
      <c r="I11" s="445">
        <f t="shared" si="5"/>
        <v>-5774.9558571428579</v>
      </c>
      <c r="J11" s="445">
        <f t="shared" si="5"/>
        <v>-6467.4279395604408</v>
      </c>
      <c r="K11" s="445">
        <f t="shared" si="5"/>
        <v>-7316.6861538461544</v>
      </c>
      <c r="L11" s="445">
        <f t="shared" si="5"/>
        <v>-7088.0397115384621</v>
      </c>
      <c r="M11" s="445">
        <f t="shared" si="5"/>
        <v>-6859.3932692307708</v>
      </c>
      <c r="N11" s="445">
        <f t="shared" si="5"/>
        <v>-6630.7468269230785</v>
      </c>
      <c r="O11" s="445">
        <f t="shared" si="5"/>
        <v>-6402.1003846153862</v>
      </c>
      <c r="P11" s="445">
        <f t="shared" si="5"/>
        <v>-6173.453942307694</v>
      </c>
      <c r="Q11" s="445">
        <f t="shared" si="5"/>
        <v>-5944.8075000000026</v>
      </c>
      <c r="R11" s="445">
        <f t="shared" si="5"/>
        <v>-5716.1610576923094</v>
      </c>
      <c r="S11" s="445">
        <f t="shared" si="5"/>
        <v>-5487.5146153846163</v>
      </c>
      <c r="T11" s="445">
        <f t="shared" si="5"/>
        <v>-5258.868173076924</v>
      </c>
      <c r="U11" s="445">
        <f t="shared" si="5"/>
        <v>-5030.2217307692317</v>
      </c>
      <c r="V11" s="445">
        <f t="shared" si="5"/>
        <v>-4801.5752884615395</v>
      </c>
      <c r="W11" s="445">
        <f t="shared" si="5"/>
        <v>0</v>
      </c>
      <c r="X11" s="445">
        <f t="shared" si="5"/>
        <v>0</v>
      </c>
      <c r="Y11" s="445">
        <f t="shared" si="5"/>
        <v>0</v>
      </c>
      <c r="Z11" s="445">
        <f t="shared" si="5"/>
        <v>0</v>
      </c>
      <c r="AA11" s="445">
        <f t="shared" si="5"/>
        <v>0</v>
      </c>
      <c r="AB11" s="445">
        <f t="shared" si="5"/>
        <v>0</v>
      </c>
      <c r="AC11" s="445">
        <f t="shared" si="5"/>
        <v>0</v>
      </c>
      <c r="AD11" s="445">
        <f t="shared" si="5"/>
        <v>0</v>
      </c>
      <c r="AE11" s="445">
        <f t="shared" si="5"/>
        <v>0</v>
      </c>
      <c r="AF11" s="445">
        <f t="shared" si="5"/>
        <v>0</v>
      </c>
      <c r="AG11" s="445">
        <f t="shared" si="5"/>
        <v>0</v>
      </c>
      <c r="AH11" s="445">
        <f t="shared" si="5"/>
        <v>0</v>
      </c>
      <c r="AI11" s="445">
        <f t="shared" si="5"/>
        <v>0</v>
      </c>
      <c r="AJ11" s="445">
        <f t="shared" si="5"/>
        <v>0</v>
      </c>
      <c r="AK11" s="445">
        <f t="shared" si="5"/>
        <v>0</v>
      </c>
    </row>
    <row r="12" spans="1:37" ht="13.5" hidden="1" customHeight="1" outlineLevel="1">
      <c r="A12" s="154"/>
      <c r="B12" s="154"/>
      <c r="C12" s="154" t="s">
        <v>270</v>
      </c>
      <c r="D12" s="158"/>
      <c r="E12" s="172"/>
      <c r="F12" s="154"/>
      <c r="G12" s="170"/>
      <c r="H12" s="171">
        <f>H9+H14+E12</f>
        <v>-47558.460000000006</v>
      </c>
      <c r="I12" s="171">
        <f t="shared" ref="I12:J12" si="6">I9+I14+H12</f>
        <v>-50955.492857142861</v>
      </c>
      <c r="J12" s="171">
        <f t="shared" si="6"/>
        <v>-54875.146153846159</v>
      </c>
      <c r="K12" s="171">
        <f t="shared" ref="K12:AK12" si="7">K9-K14+J12</f>
        <v>-50302.217307692314</v>
      </c>
      <c r="L12" s="171">
        <f t="shared" si="7"/>
        <v>-45729.288461538468</v>
      </c>
      <c r="M12" s="171">
        <f t="shared" si="7"/>
        <v>-41156.359615384623</v>
      </c>
      <c r="N12" s="171">
        <f t="shared" si="7"/>
        <v>-36583.430769230778</v>
      </c>
      <c r="O12" s="171">
        <f t="shared" si="7"/>
        <v>-32010.501923076932</v>
      </c>
      <c r="P12" s="171">
        <f t="shared" si="7"/>
        <v>-27437.573076923087</v>
      </c>
      <c r="Q12" s="171">
        <f t="shared" si="7"/>
        <v>-22864.644230769238</v>
      </c>
      <c r="R12" s="171">
        <f t="shared" si="7"/>
        <v>-18291.715384615389</v>
      </c>
      <c r="S12" s="171">
        <f t="shared" si="7"/>
        <v>-13718.786538461542</v>
      </c>
      <c r="T12" s="171">
        <f t="shared" si="7"/>
        <v>-9145.8576923076944</v>
      </c>
      <c r="U12" s="171">
        <f t="shared" si="7"/>
        <v>-4572.9288461538472</v>
      </c>
      <c r="V12" s="171">
        <f t="shared" si="7"/>
        <v>0</v>
      </c>
      <c r="W12" s="171">
        <f t="shared" si="7"/>
        <v>0</v>
      </c>
      <c r="X12" s="171">
        <f t="shared" si="7"/>
        <v>0</v>
      </c>
      <c r="Y12" s="171">
        <f t="shared" si="7"/>
        <v>0</v>
      </c>
      <c r="Z12" s="171">
        <f t="shared" si="7"/>
        <v>0</v>
      </c>
      <c r="AA12" s="171">
        <f t="shared" si="7"/>
        <v>0</v>
      </c>
      <c r="AB12" s="171">
        <f t="shared" si="7"/>
        <v>0</v>
      </c>
      <c r="AC12" s="171">
        <f t="shared" si="7"/>
        <v>0</v>
      </c>
      <c r="AD12" s="171">
        <f t="shared" si="7"/>
        <v>0</v>
      </c>
      <c r="AE12" s="171">
        <f t="shared" si="7"/>
        <v>0</v>
      </c>
      <c r="AF12" s="171">
        <f t="shared" si="7"/>
        <v>0</v>
      </c>
      <c r="AG12" s="171">
        <f t="shared" si="7"/>
        <v>0</v>
      </c>
      <c r="AH12" s="171">
        <f t="shared" si="7"/>
        <v>0</v>
      </c>
      <c r="AI12" s="171">
        <f t="shared" si="7"/>
        <v>0</v>
      </c>
      <c r="AJ12" s="171">
        <f t="shared" si="7"/>
        <v>0</v>
      </c>
      <c r="AK12" s="171">
        <f t="shared" si="7"/>
        <v>0</v>
      </c>
    </row>
    <row r="13" spans="1:37" ht="13.5" hidden="1" customHeight="1" outlineLevel="1">
      <c r="A13" s="154"/>
      <c r="B13" s="154"/>
      <c r="C13" s="154" t="s">
        <v>271</v>
      </c>
      <c r="D13" s="158"/>
      <c r="E13" s="169">
        <f t="shared" ref="E13:E14" si="8">SUM(H13:AK13)</f>
        <v>-22760.120142857151</v>
      </c>
      <c r="F13" s="154"/>
      <c r="G13" s="170"/>
      <c r="H13" s="171">
        <f>G12*'2. Cost Inputs'!$B84*H2</f>
        <v>0</v>
      </c>
      <c r="I13" s="171">
        <f>H12*'2. Cost Inputs'!$B84*I2</f>
        <v>-2377.9230000000002</v>
      </c>
      <c r="J13" s="171">
        <f>I12*'2. Cost Inputs'!$B84*J2</f>
        <v>-2547.7746428571431</v>
      </c>
      <c r="K13" s="171">
        <f>J12*'2. Cost Inputs'!$B84*K2</f>
        <v>-2743.7573076923081</v>
      </c>
      <c r="L13" s="171">
        <f>K12*'2. Cost Inputs'!$B84*L2</f>
        <v>-2515.1108653846159</v>
      </c>
      <c r="M13" s="171">
        <f>L12*'2. Cost Inputs'!$B84*M2</f>
        <v>-2286.4644230769236</v>
      </c>
      <c r="N13" s="171">
        <f>M12*'2. Cost Inputs'!$B84*N2</f>
        <v>-2057.8179807692313</v>
      </c>
      <c r="O13" s="171">
        <f>N12*'2. Cost Inputs'!$B84*O2</f>
        <v>-1829.1715384615391</v>
      </c>
      <c r="P13" s="171">
        <f>O12*'2. Cost Inputs'!$B84*P2</f>
        <v>-1600.5250961538468</v>
      </c>
      <c r="Q13" s="171">
        <f>P12*'2. Cost Inputs'!$B84*Q2</f>
        <v>-1371.8786538461545</v>
      </c>
      <c r="R13" s="171">
        <f>Q12*'2. Cost Inputs'!$B84*R2</f>
        <v>-1143.232211538462</v>
      </c>
      <c r="S13" s="171">
        <f>R12*'2. Cost Inputs'!$B84*S2</f>
        <v>-914.58576923076953</v>
      </c>
      <c r="T13" s="171">
        <f>S12*'2. Cost Inputs'!$B84*T2</f>
        <v>-685.93932692307715</v>
      </c>
      <c r="U13" s="171">
        <f>T12*'2. Cost Inputs'!$B84*U2</f>
        <v>-457.29288461538476</v>
      </c>
      <c r="V13" s="171">
        <f>U12*'2. Cost Inputs'!$B84*V2</f>
        <v>-228.64644230769238</v>
      </c>
      <c r="W13" s="171">
        <f>V12*'2. Cost Inputs'!$B84*W2</f>
        <v>0</v>
      </c>
      <c r="X13" s="171">
        <f>W12*'2. Cost Inputs'!$B84*X2</f>
        <v>0</v>
      </c>
      <c r="Y13" s="171">
        <f>X12*'2. Cost Inputs'!$B84*Y2</f>
        <v>0</v>
      </c>
      <c r="Z13" s="171">
        <f>Y12*'2. Cost Inputs'!$B84*Z2</f>
        <v>0</v>
      </c>
      <c r="AA13" s="171">
        <f>Z12*'2. Cost Inputs'!$B84*AA2</f>
        <v>0</v>
      </c>
      <c r="AB13" s="171">
        <f>AA12*'2. Cost Inputs'!$B84*AB2</f>
        <v>0</v>
      </c>
      <c r="AC13" s="171">
        <f>AB12*'2. Cost Inputs'!$B84*AC2</f>
        <v>0</v>
      </c>
      <c r="AD13" s="171">
        <f>AC12*'2. Cost Inputs'!$B84*AD2</f>
        <v>0</v>
      </c>
      <c r="AE13" s="171">
        <f>AD12*'2. Cost Inputs'!$B84*AE2</f>
        <v>0</v>
      </c>
      <c r="AF13" s="171">
        <f>AE12*'2. Cost Inputs'!$B84*AF2</f>
        <v>0</v>
      </c>
      <c r="AG13" s="171">
        <f>AF12*'2. Cost Inputs'!$B84*AG2</f>
        <v>0</v>
      </c>
      <c r="AH13" s="171">
        <f>AG12*'2. Cost Inputs'!$B84*AH2</f>
        <v>0</v>
      </c>
      <c r="AI13" s="171">
        <f>AH12*'2. Cost Inputs'!$B84*AI2</f>
        <v>0</v>
      </c>
      <c r="AJ13" s="171">
        <f>AI12*'2. Cost Inputs'!$B84*AJ2</f>
        <v>0</v>
      </c>
      <c r="AK13" s="171">
        <f>AJ12*'2. Cost Inputs'!$B84*AK2</f>
        <v>0</v>
      </c>
    </row>
    <row r="14" spans="1:37" ht="13.5" hidden="1" customHeight="1" outlineLevel="1">
      <c r="A14" s="154"/>
      <c r="B14" s="154"/>
      <c r="C14" s="154" t="s">
        <v>272</v>
      </c>
      <c r="D14" s="158"/>
      <c r="E14" s="169">
        <f t="shared" si="8"/>
        <v>-62191.832307692304</v>
      </c>
      <c r="F14" s="154"/>
      <c r="G14" s="170"/>
      <c r="H14" s="171">
        <f>IF(H2=0,0,E12/H3)</f>
        <v>0</v>
      </c>
      <c r="I14" s="171">
        <f t="shared" ref="I14:AK14" si="9">IF(I2=0,0,H12/I3)</f>
        <v>-3397.0328571428577</v>
      </c>
      <c r="J14" s="171">
        <f t="shared" si="9"/>
        <v>-3919.6532967032972</v>
      </c>
      <c r="K14" s="171">
        <f t="shared" si="9"/>
        <v>-4572.9288461538463</v>
      </c>
      <c r="L14" s="171">
        <f t="shared" si="9"/>
        <v>-4572.9288461538463</v>
      </c>
      <c r="M14" s="171">
        <f t="shared" si="9"/>
        <v>-4572.9288461538472</v>
      </c>
      <c r="N14" s="171">
        <f t="shared" si="9"/>
        <v>-4572.9288461538472</v>
      </c>
      <c r="O14" s="171">
        <f t="shared" si="9"/>
        <v>-4572.9288461538472</v>
      </c>
      <c r="P14" s="171">
        <f t="shared" si="9"/>
        <v>-4572.9288461538472</v>
      </c>
      <c r="Q14" s="171">
        <f t="shared" si="9"/>
        <v>-4572.9288461538481</v>
      </c>
      <c r="R14" s="171">
        <f t="shared" si="9"/>
        <v>-4572.9288461538472</v>
      </c>
      <c r="S14" s="171">
        <f t="shared" si="9"/>
        <v>-4572.9288461538472</v>
      </c>
      <c r="T14" s="171">
        <f t="shared" si="9"/>
        <v>-4572.9288461538472</v>
      </c>
      <c r="U14" s="171">
        <f t="shared" si="9"/>
        <v>-4572.9288461538472</v>
      </c>
      <c r="V14" s="171">
        <f t="shared" si="9"/>
        <v>-4572.9288461538472</v>
      </c>
      <c r="W14" s="171">
        <f t="shared" si="9"/>
        <v>0</v>
      </c>
      <c r="X14" s="171">
        <f t="shared" si="9"/>
        <v>0</v>
      </c>
      <c r="Y14" s="171">
        <f t="shared" si="9"/>
        <v>0</v>
      </c>
      <c r="Z14" s="171">
        <f t="shared" si="9"/>
        <v>0</v>
      </c>
      <c r="AA14" s="171">
        <f t="shared" si="9"/>
        <v>0</v>
      </c>
      <c r="AB14" s="171">
        <f t="shared" si="9"/>
        <v>0</v>
      </c>
      <c r="AC14" s="171">
        <f t="shared" si="9"/>
        <v>0</v>
      </c>
      <c r="AD14" s="171">
        <f t="shared" si="9"/>
        <v>0</v>
      </c>
      <c r="AE14" s="171">
        <f t="shared" si="9"/>
        <v>0</v>
      </c>
      <c r="AF14" s="171">
        <f t="shared" si="9"/>
        <v>0</v>
      </c>
      <c r="AG14" s="171">
        <f t="shared" si="9"/>
        <v>0</v>
      </c>
      <c r="AH14" s="171">
        <f t="shared" si="9"/>
        <v>0</v>
      </c>
      <c r="AI14" s="171">
        <f t="shared" si="9"/>
        <v>0</v>
      </c>
      <c r="AJ14" s="171">
        <f t="shared" si="9"/>
        <v>0</v>
      </c>
      <c r="AK14" s="171">
        <f t="shared" si="9"/>
        <v>0</v>
      </c>
    </row>
    <row r="15" spans="1:37" ht="13.5" customHeight="1">
      <c r="A15" s="446"/>
      <c r="B15" s="447" t="s">
        <v>273</v>
      </c>
      <c r="C15" s="446"/>
      <c r="D15" s="448"/>
      <c r="E15" s="448"/>
      <c r="F15" s="448"/>
      <c r="G15" s="170"/>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row>
    <row r="16" spans="1:37" ht="13.5" customHeight="1">
      <c r="A16" s="173"/>
      <c r="B16" s="173"/>
      <c r="C16" s="174" t="s">
        <v>274</v>
      </c>
      <c r="D16" s="175"/>
      <c r="E16" s="176">
        <f t="shared" ref="E16:E20" si="10">SUM(H16:AK16)</f>
        <v>5491500</v>
      </c>
      <c r="F16" s="173"/>
      <c r="G16" s="177"/>
      <c r="H16" s="176">
        <f>'3. Outputs'!$C36*H2</f>
        <v>366100</v>
      </c>
      <c r="I16" s="176">
        <f>'3. Outputs'!$C36*I2</f>
        <v>366100</v>
      </c>
      <c r="J16" s="176">
        <f>'3. Outputs'!$C36*J2</f>
        <v>366100</v>
      </c>
      <c r="K16" s="176">
        <f>'3. Outputs'!$C36*K2</f>
        <v>366100</v>
      </c>
      <c r="L16" s="176">
        <f>'3. Outputs'!$C36*L2</f>
        <v>366100</v>
      </c>
      <c r="M16" s="176">
        <f>'3. Outputs'!$C36*M2</f>
        <v>366100</v>
      </c>
      <c r="N16" s="176">
        <f>'3. Outputs'!$C36*N2</f>
        <v>366100</v>
      </c>
      <c r="O16" s="176">
        <f>'3. Outputs'!$C36*O2</f>
        <v>366100</v>
      </c>
      <c r="P16" s="176">
        <f>'3. Outputs'!$C36*P2</f>
        <v>366100</v>
      </c>
      <c r="Q16" s="176">
        <f>'3. Outputs'!$C36*Q2</f>
        <v>366100</v>
      </c>
      <c r="R16" s="176">
        <f>'3. Outputs'!$C36*R2</f>
        <v>366100</v>
      </c>
      <c r="S16" s="176">
        <f>'3. Outputs'!$C36*S2</f>
        <v>366100</v>
      </c>
      <c r="T16" s="176">
        <f>'3. Outputs'!$C36*T2</f>
        <v>366100</v>
      </c>
      <c r="U16" s="176">
        <f>'3. Outputs'!$C36*U2</f>
        <v>366100</v>
      </c>
      <c r="V16" s="176">
        <f>'3. Outputs'!$C36*V2</f>
        <v>366100</v>
      </c>
      <c r="W16" s="176">
        <f>'3. Outputs'!$C36*W2</f>
        <v>0</v>
      </c>
      <c r="X16" s="176">
        <f>'3. Outputs'!$C36*X2</f>
        <v>0</v>
      </c>
      <c r="Y16" s="176">
        <f>'3. Outputs'!$C36*Y2</f>
        <v>0</v>
      </c>
      <c r="Z16" s="176">
        <f>'3. Outputs'!$C36*Z2</f>
        <v>0</v>
      </c>
      <c r="AA16" s="176">
        <f>'3. Outputs'!$C36*AA2</f>
        <v>0</v>
      </c>
      <c r="AB16" s="176">
        <f>'3. Outputs'!$C36*AB2</f>
        <v>0</v>
      </c>
      <c r="AC16" s="176">
        <f>'3. Outputs'!$C36*AC2</f>
        <v>0</v>
      </c>
      <c r="AD16" s="176">
        <f>'3. Outputs'!$C36*AD2</f>
        <v>0</v>
      </c>
      <c r="AE16" s="176">
        <f>'3. Outputs'!$C36*AE2</f>
        <v>0</v>
      </c>
      <c r="AF16" s="176">
        <f>'3. Outputs'!$C36*AF2</f>
        <v>0</v>
      </c>
      <c r="AG16" s="176">
        <f>'3. Outputs'!$C36*AG2</f>
        <v>0</v>
      </c>
      <c r="AH16" s="176">
        <f>'3. Outputs'!$C36*AH2</f>
        <v>0</v>
      </c>
      <c r="AI16" s="176">
        <f>'3. Outputs'!$C36*AI2</f>
        <v>0</v>
      </c>
      <c r="AJ16" s="176">
        <f>'3. Outputs'!$C36*AJ2</f>
        <v>0</v>
      </c>
      <c r="AK16" s="176">
        <f>'3. Outputs'!$C36*AK2</f>
        <v>0</v>
      </c>
    </row>
    <row r="17" spans="1:37" ht="13.5" customHeight="1" collapsed="1">
      <c r="A17" s="178"/>
      <c r="B17" s="178"/>
      <c r="C17" s="179" t="s">
        <v>275</v>
      </c>
      <c r="D17" s="180"/>
      <c r="E17" s="181">
        <f t="shared" si="10"/>
        <v>-3672437.4000000008</v>
      </c>
      <c r="F17" s="178"/>
      <c r="G17" s="182"/>
      <c r="H17" s="181">
        <f t="shared" ref="H17:AK17" si="11">SUM(H18:H20)</f>
        <v>-244829.16</v>
      </c>
      <c r="I17" s="181">
        <f t="shared" si="11"/>
        <v>-244829.16</v>
      </c>
      <c r="J17" s="181">
        <f t="shared" si="11"/>
        <v>-244829.16</v>
      </c>
      <c r="K17" s="181">
        <f t="shared" si="11"/>
        <v>-244829.16</v>
      </c>
      <c r="L17" s="181">
        <f t="shared" si="11"/>
        <v>-244829.16</v>
      </c>
      <c r="M17" s="181">
        <f t="shared" si="11"/>
        <v>-244829.16</v>
      </c>
      <c r="N17" s="181">
        <f t="shared" si="11"/>
        <v>-244829.16</v>
      </c>
      <c r="O17" s="181">
        <f t="shared" si="11"/>
        <v>-244829.16</v>
      </c>
      <c r="P17" s="181">
        <f t="shared" si="11"/>
        <v>-244829.16</v>
      </c>
      <c r="Q17" s="181">
        <f t="shared" si="11"/>
        <v>-244829.16</v>
      </c>
      <c r="R17" s="181">
        <f t="shared" si="11"/>
        <v>-244829.16</v>
      </c>
      <c r="S17" s="181">
        <f t="shared" si="11"/>
        <v>-244829.16</v>
      </c>
      <c r="T17" s="181">
        <f t="shared" si="11"/>
        <v>-244829.16</v>
      </c>
      <c r="U17" s="181">
        <f t="shared" si="11"/>
        <v>-244829.16</v>
      </c>
      <c r="V17" s="181">
        <f t="shared" si="11"/>
        <v>-244829.16</v>
      </c>
      <c r="W17" s="181">
        <f t="shared" si="11"/>
        <v>0</v>
      </c>
      <c r="X17" s="181">
        <f t="shared" si="11"/>
        <v>0</v>
      </c>
      <c r="Y17" s="181">
        <f t="shared" si="11"/>
        <v>0</v>
      </c>
      <c r="Z17" s="181">
        <f t="shared" si="11"/>
        <v>0</v>
      </c>
      <c r="AA17" s="181">
        <f t="shared" si="11"/>
        <v>0</v>
      </c>
      <c r="AB17" s="181">
        <f t="shared" si="11"/>
        <v>0</v>
      </c>
      <c r="AC17" s="181">
        <f t="shared" si="11"/>
        <v>0</v>
      </c>
      <c r="AD17" s="181">
        <f t="shared" si="11"/>
        <v>0</v>
      </c>
      <c r="AE17" s="181">
        <f t="shared" si="11"/>
        <v>0</v>
      </c>
      <c r="AF17" s="181">
        <f t="shared" si="11"/>
        <v>0</v>
      </c>
      <c r="AG17" s="181">
        <f t="shared" si="11"/>
        <v>0</v>
      </c>
      <c r="AH17" s="181">
        <f t="shared" si="11"/>
        <v>0</v>
      </c>
      <c r="AI17" s="181">
        <f t="shared" si="11"/>
        <v>0</v>
      </c>
      <c r="AJ17" s="181">
        <f t="shared" si="11"/>
        <v>0</v>
      </c>
      <c r="AK17" s="181">
        <f t="shared" si="11"/>
        <v>0</v>
      </c>
    </row>
    <row r="18" spans="1:37" ht="13.5" hidden="1" customHeight="1" outlineLevel="1">
      <c r="A18" s="154"/>
      <c r="B18" s="154"/>
      <c r="C18" s="168" t="s">
        <v>276</v>
      </c>
      <c r="D18" s="158"/>
      <c r="E18" s="169">
        <f t="shared" si="10"/>
        <v>-1890000</v>
      </c>
      <c r="F18" s="154"/>
      <c r="G18" s="170"/>
      <c r="H18" s="169">
        <f>-SUM('3. Outputs'!$C12:$C15)*H2</f>
        <v>-126000</v>
      </c>
      <c r="I18" s="169">
        <f>-SUM('3. Outputs'!$C12:$C15)*I2</f>
        <v>-126000</v>
      </c>
      <c r="J18" s="169">
        <f>-SUM('3. Outputs'!$C12:$C15)*J2</f>
        <v>-126000</v>
      </c>
      <c r="K18" s="169">
        <f>-SUM('3. Outputs'!$C12:$C15)*K2</f>
        <v>-126000</v>
      </c>
      <c r="L18" s="169">
        <f>-SUM('3. Outputs'!$C12:$C15)*L2</f>
        <v>-126000</v>
      </c>
      <c r="M18" s="169">
        <f>-SUM('3. Outputs'!$C12:$C15)*M2</f>
        <v>-126000</v>
      </c>
      <c r="N18" s="169">
        <f>-SUM('3. Outputs'!$C12:$C15)*N2</f>
        <v>-126000</v>
      </c>
      <c r="O18" s="169">
        <f>-SUM('3. Outputs'!$C12:$C15)*O2</f>
        <v>-126000</v>
      </c>
      <c r="P18" s="169">
        <f>-SUM('3. Outputs'!$C12:$C15)*P2</f>
        <v>-126000</v>
      </c>
      <c r="Q18" s="169">
        <f>-SUM('3. Outputs'!$C12:$C15)*Q2</f>
        <v>-126000</v>
      </c>
      <c r="R18" s="169">
        <f>-SUM('3. Outputs'!$C12:$C15)*R2</f>
        <v>-126000</v>
      </c>
      <c r="S18" s="169">
        <f>-SUM('3. Outputs'!$C12:$C15)*S2</f>
        <v>-126000</v>
      </c>
      <c r="T18" s="169">
        <f>-SUM('3. Outputs'!$C12:$C15)*T2</f>
        <v>-126000</v>
      </c>
      <c r="U18" s="169">
        <f>-SUM('3. Outputs'!$C12:$C15)*U2</f>
        <v>-126000</v>
      </c>
      <c r="V18" s="169">
        <f>-SUM('3. Outputs'!$C12:$C15)*V2</f>
        <v>-126000</v>
      </c>
      <c r="W18" s="169">
        <f>-SUM('3. Outputs'!$C12:$C15)*W2</f>
        <v>0</v>
      </c>
      <c r="X18" s="169">
        <f>-SUM('3. Outputs'!$C12:$C15)*X2</f>
        <v>0</v>
      </c>
      <c r="Y18" s="169">
        <f>-SUM('3. Outputs'!$C12:$C15)*Y2</f>
        <v>0</v>
      </c>
      <c r="Z18" s="169">
        <f>-SUM('3. Outputs'!$C12:$C15)*Z2</f>
        <v>0</v>
      </c>
      <c r="AA18" s="169">
        <f>-SUM('3. Outputs'!$C12:$C15)*AA2</f>
        <v>0</v>
      </c>
      <c r="AB18" s="169">
        <f>-SUM('3. Outputs'!$C12:$C15)*AB2</f>
        <v>0</v>
      </c>
      <c r="AC18" s="169">
        <f>-SUM('3. Outputs'!$C12:$C15)*AC2</f>
        <v>0</v>
      </c>
      <c r="AD18" s="169">
        <f>-SUM('3. Outputs'!$C12:$C15)*AD2</f>
        <v>0</v>
      </c>
      <c r="AE18" s="169">
        <f>-SUM('3. Outputs'!$C12:$C15)*AE2</f>
        <v>0</v>
      </c>
      <c r="AF18" s="169">
        <f>-SUM('3. Outputs'!$C12:$C15)*AF2</f>
        <v>0</v>
      </c>
      <c r="AG18" s="169">
        <f>-SUM('3. Outputs'!$C12:$C15)*AG2</f>
        <v>0</v>
      </c>
      <c r="AH18" s="169">
        <f>-SUM('3. Outputs'!$C12:$C15)*AH2</f>
        <v>0</v>
      </c>
      <c r="AI18" s="169">
        <f>-SUM('3. Outputs'!$C12:$C15)*AI2</f>
        <v>0</v>
      </c>
      <c r="AJ18" s="169">
        <f>-SUM('3. Outputs'!$C12:$C15)*AJ2</f>
        <v>0</v>
      </c>
      <c r="AK18" s="169">
        <f>-SUM('3. Outputs'!$C12:$C15)*AK2</f>
        <v>0</v>
      </c>
    </row>
    <row r="19" spans="1:37" ht="13.5" hidden="1" customHeight="1" outlineLevel="1">
      <c r="A19" s="154"/>
      <c r="B19" s="154"/>
      <c r="C19" s="168" t="s">
        <v>277</v>
      </c>
      <c r="D19" s="158"/>
      <c r="E19" s="169">
        <f t="shared" si="10"/>
        <v>-862650.00000000012</v>
      </c>
      <c r="F19" s="154"/>
      <c r="G19" s="170"/>
      <c r="H19" s="169">
        <f>-'3. Outputs'!$C16*H2</f>
        <v>-57510.000000000007</v>
      </c>
      <c r="I19" s="169">
        <f>-'3. Outputs'!$C16*I2</f>
        <v>-57510.000000000007</v>
      </c>
      <c r="J19" s="169">
        <f>-'3. Outputs'!$C16*J2</f>
        <v>-57510.000000000007</v>
      </c>
      <c r="K19" s="169">
        <f>-'3. Outputs'!$C16*K2</f>
        <v>-57510.000000000007</v>
      </c>
      <c r="L19" s="169">
        <f>-'3. Outputs'!$C16*L2</f>
        <v>-57510.000000000007</v>
      </c>
      <c r="M19" s="169">
        <f>-'3. Outputs'!$C16*M2</f>
        <v>-57510.000000000007</v>
      </c>
      <c r="N19" s="169">
        <f>-'3. Outputs'!$C16*N2</f>
        <v>-57510.000000000007</v>
      </c>
      <c r="O19" s="169">
        <f>-'3. Outputs'!$C16*O2</f>
        <v>-57510.000000000007</v>
      </c>
      <c r="P19" s="169">
        <f>-'3. Outputs'!$C16*P2</f>
        <v>-57510.000000000007</v>
      </c>
      <c r="Q19" s="169">
        <f>-'3. Outputs'!$C16*Q2</f>
        <v>-57510.000000000007</v>
      </c>
      <c r="R19" s="169">
        <f>-'3. Outputs'!$C16*R2</f>
        <v>-57510.000000000007</v>
      </c>
      <c r="S19" s="169">
        <f>-'3. Outputs'!$C16*S2</f>
        <v>-57510.000000000007</v>
      </c>
      <c r="T19" s="169">
        <f>-'3. Outputs'!$C16*T2</f>
        <v>-57510.000000000007</v>
      </c>
      <c r="U19" s="169">
        <f>-'3. Outputs'!$C16*U2</f>
        <v>-57510.000000000007</v>
      </c>
      <c r="V19" s="169">
        <f>-'3. Outputs'!$C16*V2</f>
        <v>-57510.000000000007</v>
      </c>
      <c r="W19" s="169">
        <f>-'3. Outputs'!$C16*W2</f>
        <v>0</v>
      </c>
      <c r="X19" s="169">
        <f>-'3. Outputs'!$C16*X2</f>
        <v>0</v>
      </c>
      <c r="Y19" s="169">
        <f>-'3. Outputs'!$C16*Y2</f>
        <v>0</v>
      </c>
      <c r="Z19" s="169">
        <f>-'3. Outputs'!$C16*Z2</f>
        <v>0</v>
      </c>
      <c r="AA19" s="169">
        <f>-'3. Outputs'!$C16*AA2</f>
        <v>0</v>
      </c>
      <c r="AB19" s="169">
        <f>-'3. Outputs'!$C16*AB2</f>
        <v>0</v>
      </c>
      <c r="AC19" s="169">
        <f>-'3. Outputs'!$C16*AC2</f>
        <v>0</v>
      </c>
      <c r="AD19" s="169">
        <f>-'3. Outputs'!$C16*AD2</f>
        <v>0</v>
      </c>
      <c r="AE19" s="169">
        <f>-'3. Outputs'!$C16*AE2</f>
        <v>0</v>
      </c>
      <c r="AF19" s="169">
        <f>-'3. Outputs'!$C16*AF2</f>
        <v>0</v>
      </c>
      <c r="AG19" s="169">
        <f>-'3. Outputs'!$C16*AG2</f>
        <v>0</v>
      </c>
      <c r="AH19" s="169">
        <f>-'3. Outputs'!$C16*AH2</f>
        <v>0</v>
      </c>
      <c r="AI19" s="169">
        <f>-'3. Outputs'!$C16*AI2</f>
        <v>0</v>
      </c>
      <c r="AJ19" s="169">
        <f>-'3. Outputs'!$C16*AJ2</f>
        <v>0</v>
      </c>
      <c r="AK19" s="169">
        <f>-'3. Outputs'!$C16*AK2</f>
        <v>0</v>
      </c>
    </row>
    <row r="20" spans="1:37" ht="13.5" hidden="1" customHeight="1" outlineLevel="1">
      <c r="A20" s="154"/>
      <c r="B20" s="154"/>
      <c r="C20" s="168" t="s">
        <v>278</v>
      </c>
      <c r="D20" s="158"/>
      <c r="E20" s="169">
        <f t="shared" si="10"/>
        <v>-919787.40000000037</v>
      </c>
      <c r="F20" s="154"/>
      <c r="G20" s="170"/>
      <c r="H20" s="169">
        <f>-SUM('3. Outputs'!$C17:$C18)*H2</f>
        <v>-61319.16</v>
      </c>
      <c r="I20" s="169">
        <f>-SUM('3. Outputs'!$C17:$C18)*I2</f>
        <v>-61319.16</v>
      </c>
      <c r="J20" s="169">
        <f>-SUM('3. Outputs'!$C17:$C18)*J2</f>
        <v>-61319.16</v>
      </c>
      <c r="K20" s="169">
        <f>-SUM('3. Outputs'!$C17:$C18)*K2</f>
        <v>-61319.16</v>
      </c>
      <c r="L20" s="169">
        <f>-SUM('3. Outputs'!$C17:$C18)*L2</f>
        <v>-61319.16</v>
      </c>
      <c r="M20" s="169">
        <f>-SUM('3. Outputs'!$C17:$C18)*M2</f>
        <v>-61319.16</v>
      </c>
      <c r="N20" s="169">
        <f>-SUM('3. Outputs'!$C17:$C18)*N2</f>
        <v>-61319.16</v>
      </c>
      <c r="O20" s="169">
        <f>-SUM('3. Outputs'!$C17:$C18)*O2</f>
        <v>-61319.16</v>
      </c>
      <c r="P20" s="169">
        <f>-SUM('3. Outputs'!$C17:$C18)*P2</f>
        <v>-61319.16</v>
      </c>
      <c r="Q20" s="169">
        <f>-SUM('3. Outputs'!$C17:$C18)*Q2</f>
        <v>-61319.16</v>
      </c>
      <c r="R20" s="169">
        <f>-SUM('3. Outputs'!$C17:$C18)*R2</f>
        <v>-61319.16</v>
      </c>
      <c r="S20" s="169">
        <f>-SUM('3. Outputs'!$C17:$C18)*S2</f>
        <v>-61319.16</v>
      </c>
      <c r="T20" s="169">
        <f>-SUM('3. Outputs'!$C17:$C18)*T2</f>
        <v>-61319.16</v>
      </c>
      <c r="U20" s="169">
        <f>-SUM('3. Outputs'!$C17:$C18)*U2</f>
        <v>-61319.16</v>
      </c>
      <c r="V20" s="169">
        <f>-SUM('3. Outputs'!$C17:$C18)*V2</f>
        <v>-61319.16</v>
      </c>
      <c r="W20" s="169">
        <f>-SUM('3. Outputs'!$C17:$C18)*W2</f>
        <v>0</v>
      </c>
      <c r="X20" s="169">
        <f>-SUM('3. Outputs'!$C17:$C18)*X2</f>
        <v>0</v>
      </c>
      <c r="Y20" s="169">
        <f>-SUM('3. Outputs'!$C17:$C18)*Y2</f>
        <v>0</v>
      </c>
      <c r="Z20" s="169">
        <f>-SUM('3. Outputs'!$C17:$C18)*Z2</f>
        <v>0</v>
      </c>
      <c r="AA20" s="169">
        <f>-SUM('3. Outputs'!$C17:$C18)*AA2</f>
        <v>0</v>
      </c>
      <c r="AB20" s="169">
        <f>-SUM('3. Outputs'!$C17:$C18)*AB2</f>
        <v>0</v>
      </c>
      <c r="AC20" s="169">
        <f>-SUM('3. Outputs'!$C17:$C18)*AC2</f>
        <v>0</v>
      </c>
      <c r="AD20" s="169">
        <f>-SUM('3. Outputs'!$C17:$C18)*AD2</f>
        <v>0</v>
      </c>
      <c r="AE20" s="169">
        <f>-SUM('3. Outputs'!$C17:$C18)*AE2</f>
        <v>0</v>
      </c>
      <c r="AF20" s="169">
        <f>-SUM('3. Outputs'!$C17:$C18)*AF2</f>
        <v>0</v>
      </c>
      <c r="AG20" s="169">
        <f>-SUM('3. Outputs'!$C17:$C18)*AG2</f>
        <v>0</v>
      </c>
      <c r="AH20" s="169">
        <f>-SUM('3. Outputs'!$C17:$C18)*AH2</f>
        <v>0</v>
      </c>
      <c r="AI20" s="169">
        <f>-SUM('3. Outputs'!$C17:$C18)*AI2</f>
        <v>0</v>
      </c>
      <c r="AJ20" s="169">
        <f>-SUM('3. Outputs'!$C17:$C18)*AJ2</f>
        <v>0</v>
      </c>
      <c r="AK20" s="169">
        <f>-SUM('3. Outputs'!$C17:$C18)*AK2</f>
        <v>0</v>
      </c>
    </row>
    <row r="21" spans="1:37" ht="13.5" hidden="1" customHeight="1" outlineLevel="1">
      <c r="A21" s="154"/>
      <c r="B21" s="154"/>
      <c r="C21" s="168" t="s">
        <v>279</v>
      </c>
      <c r="D21" s="158"/>
      <c r="E21" s="183">
        <f>(E16+E17)/E16</f>
        <v>0.33125058727123724</v>
      </c>
      <c r="F21" s="154"/>
      <c r="G21" s="170"/>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row>
    <row r="22" spans="1:37" ht="13.5" customHeight="1">
      <c r="A22" s="154"/>
      <c r="B22" s="154"/>
      <c r="C22" s="154" t="s">
        <v>280</v>
      </c>
      <c r="D22" s="158"/>
      <c r="E22" s="169">
        <f t="shared" ref="E22:E28" si="12">SUM(H22:AK22)</f>
        <v>-286035</v>
      </c>
      <c r="F22" s="154"/>
      <c r="G22" s="170"/>
      <c r="H22" s="169">
        <f>-'3. Outputs'!$C19*H2</f>
        <v>-19069</v>
      </c>
      <c r="I22" s="169">
        <f>-'3. Outputs'!$C19*I2</f>
        <v>-19069</v>
      </c>
      <c r="J22" s="169">
        <f>-'3. Outputs'!$C19*J2</f>
        <v>-19069</v>
      </c>
      <c r="K22" s="169">
        <f>-'3. Outputs'!$C19*K2</f>
        <v>-19069</v>
      </c>
      <c r="L22" s="169">
        <f>-'3. Outputs'!$C19*L2</f>
        <v>-19069</v>
      </c>
      <c r="M22" s="169">
        <f>-'3. Outputs'!$C19*M2</f>
        <v>-19069</v>
      </c>
      <c r="N22" s="169">
        <f>-'3. Outputs'!$C19*N2</f>
        <v>-19069</v>
      </c>
      <c r="O22" s="169">
        <f>-'3. Outputs'!$C19*O2</f>
        <v>-19069</v>
      </c>
      <c r="P22" s="169">
        <f>-'3. Outputs'!$C19*P2</f>
        <v>-19069</v>
      </c>
      <c r="Q22" s="169">
        <f>-'3. Outputs'!$C19*Q2</f>
        <v>-19069</v>
      </c>
      <c r="R22" s="169">
        <f>-'3. Outputs'!$C19*R2</f>
        <v>-19069</v>
      </c>
      <c r="S22" s="169">
        <f>-'3. Outputs'!$C19*S2</f>
        <v>-19069</v>
      </c>
      <c r="T22" s="169">
        <f>-'3. Outputs'!$C19*T2</f>
        <v>-19069</v>
      </c>
      <c r="U22" s="169">
        <f>-'3. Outputs'!$C19*U2</f>
        <v>-19069</v>
      </c>
      <c r="V22" s="169">
        <f>-'3. Outputs'!$C19*V2</f>
        <v>-19069</v>
      </c>
      <c r="W22" s="169">
        <f>-'3. Outputs'!$C19*W2</f>
        <v>0</v>
      </c>
      <c r="X22" s="169">
        <f>-'3. Outputs'!$C19*X2</f>
        <v>0</v>
      </c>
      <c r="Y22" s="169">
        <f>-'3. Outputs'!$C19*Y2</f>
        <v>0</v>
      </c>
      <c r="Z22" s="169">
        <f>-'3. Outputs'!$C19*Z2</f>
        <v>0</v>
      </c>
      <c r="AA22" s="169">
        <f>-'3. Outputs'!$C19*AA2</f>
        <v>0</v>
      </c>
      <c r="AB22" s="169">
        <f>-'3. Outputs'!$C19*AB2</f>
        <v>0</v>
      </c>
      <c r="AC22" s="169">
        <f>-'3. Outputs'!$C19*AC2</f>
        <v>0</v>
      </c>
      <c r="AD22" s="169">
        <f>-'3. Outputs'!$C19*AD2</f>
        <v>0</v>
      </c>
      <c r="AE22" s="169">
        <f>-'3. Outputs'!$C19*AE2</f>
        <v>0</v>
      </c>
      <c r="AF22" s="169">
        <f>-'3. Outputs'!$C19*AF2</f>
        <v>0</v>
      </c>
      <c r="AG22" s="169">
        <f>-'3. Outputs'!$C19*AG2</f>
        <v>0</v>
      </c>
      <c r="AH22" s="169">
        <f>-'3. Outputs'!$C19*AH2</f>
        <v>0</v>
      </c>
      <c r="AI22" s="169">
        <f>-'3. Outputs'!$C19*AI2</f>
        <v>0</v>
      </c>
      <c r="AJ22" s="169">
        <f>-'3. Outputs'!$C19*AJ2</f>
        <v>0</v>
      </c>
      <c r="AK22" s="169">
        <f>-'3. Outputs'!$C19*AK2</f>
        <v>0</v>
      </c>
    </row>
    <row r="23" spans="1:37" ht="13.5" customHeight="1">
      <c r="A23" s="440"/>
      <c r="B23" s="440"/>
      <c r="C23" s="441" t="s">
        <v>281</v>
      </c>
      <c r="D23" s="442"/>
      <c r="E23" s="443">
        <f t="shared" si="12"/>
        <v>1533027.6</v>
      </c>
      <c r="F23" s="440"/>
      <c r="G23" s="444"/>
      <c r="H23" s="443">
        <f t="shared" ref="H23:AK23" si="13">H16+H17+H22</f>
        <v>102201.84</v>
      </c>
      <c r="I23" s="443">
        <f t="shared" si="13"/>
        <v>102201.84</v>
      </c>
      <c r="J23" s="443">
        <f t="shared" si="13"/>
        <v>102201.84</v>
      </c>
      <c r="K23" s="443">
        <f t="shared" si="13"/>
        <v>102201.84</v>
      </c>
      <c r="L23" s="443">
        <f t="shared" si="13"/>
        <v>102201.84</v>
      </c>
      <c r="M23" s="443">
        <f t="shared" si="13"/>
        <v>102201.84</v>
      </c>
      <c r="N23" s="443">
        <f t="shared" si="13"/>
        <v>102201.84</v>
      </c>
      <c r="O23" s="443">
        <f t="shared" si="13"/>
        <v>102201.84</v>
      </c>
      <c r="P23" s="443">
        <f t="shared" si="13"/>
        <v>102201.84</v>
      </c>
      <c r="Q23" s="443">
        <f t="shared" si="13"/>
        <v>102201.84</v>
      </c>
      <c r="R23" s="443">
        <f t="shared" si="13"/>
        <v>102201.84</v>
      </c>
      <c r="S23" s="443">
        <f t="shared" si="13"/>
        <v>102201.84</v>
      </c>
      <c r="T23" s="443">
        <f t="shared" si="13"/>
        <v>102201.84</v>
      </c>
      <c r="U23" s="443">
        <f t="shared" si="13"/>
        <v>102201.84</v>
      </c>
      <c r="V23" s="443">
        <f t="shared" si="13"/>
        <v>102201.84</v>
      </c>
      <c r="W23" s="443">
        <f t="shared" si="13"/>
        <v>0</v>
      </c>
      <c r="X23" s="443">
        <f t="shared" si="13"/>
        <v>0</v>
      </c>
      <c r="Y23" s="443">
        <f t="shared" si="13"/>
        <v>0</v>
      </c>
      <c r="Z23" s="443">
        <f t="shared" si="13"/>
        <v>0</v>
      </c>
      <c r="AA23" s="443">
        <f t="shared" si="13"/>
        <v>0</v>
      </c>
      <c r="AB23" s="443">
        <f t="shared" si="13"/>
        <v>0</v>
      </c>
      <c r="AC23" s="443">
        <f t="shared" si="13"/>
        <v>0</v>
      </c>
      <c r="AD23" s="443">
        <f t="shared" si="13"/>
        <v>0</v>
      </c>
      <c r="AE23" s="443">
        <f t="shared" si="13"/>
        <v>0</v>
      </c>
      <c r="AF23" s="443">
        <f t="shared" si="13"/>
        <v>0</v>
      </c>
      <c r="AG23" s="443">
        <f t="shared" si="13"/>
        <v>0</v>
      </c>
      <c r="AH23" s="443">
        <f t="shared" si="13"/>
        <v>0</v>
      </c>
      <c r="AI23" s="443">
        <f t="shared" si="13"/>
        <v>0</v>
      </c>
      <c r="AJ23" s="443">
        <f t="shared" si="13"/>
        <v>0</v>
      </c>
      <c r="AK23" s="443">
        <f t="shared" si="13"/>
        <v>0</v>
      </c>
    </row>
    <row r="24" spans="1:37" ht="13.5" customHeight="1">
      <c r="A24" s="154"/>
      <c r="B24" s="154"/>
      <c r="C24" s="154" t="s">
        <v>282</v>
      </c>
      <c r="D24" s="158"/>
      <c r="E24" s="169">
        <f t="shared" si="12"/>
        <v>-475584.60000000015</v>
      </c>
      <c r="F24" s="154"/>
      <c r="G24" s="170"/>
      <c r="H24" s="169">
        <f>-SUM('3. Outputs'!$C22:$C26)*H2</f>
        <v>-31705.64</v>
      </c>
      <c r="I24" s="169">
        <f>-SUM('3. Outputs'!$C22:$C26)*I2</f>
        <v>-31705.64</v>
      </c>
      <c r="J24" s="169">
        <f>-SUM('3. Outputs'!$C22:$C26)*J2</f>
        <v>-31705.64</v>
      </c>
      <c r="K24" s="169">
        <f>-SUM('3. Outputs'!$C22:$C26)*K2</f>
        <v>-31705.64</v>
      </c>
      <c r="L24" s="169">
        <f>-SUM('3. Outputs'!$C22:$C26)*L2</f>
        <v>-31705.64</v>
      </c>
      <c r="M24" s="169">
        <f>-SUM('3. Outputs'!$C22:$C26)*M2</f>
        <v>-31705.64</v>
      </c>
      <c r="N24" s="169">
        <f>-SUM('3. Outputs'!$C22:$C26)*N2</f>
        <v>-31705.64</v>
      </c>
      <c r="O24" s="169">
        <f>-SUM('3. Outputs'!$C22:$C26)*O2</f>
        <v>-31705.64</v>
      </c>
      <c r="P24" s="169">
        <f>-SUM('3. Outputs'!$C22:$C26)*P2</f>
        <v>-31705.64</v>
      </c>
      <c r="Q24" s="169">
        <f>-SUM('3. Outputs'!$C22:$C26)*Q2</f>
        <v>-31705.64</v>
      </c>
      <c r="R24" s="169">
        <f>-SUM('3. Outputs'!$C22:$C26)*R2</f>
        <v>-31705.64</v>
      </c>
      <c r="S24" s="169">
        <f>-SUM('3. Outputs'!$C22:$C26)*S2</f>
        <v>-31705.64</v>
      </c>
      <c r="T24" s="169">
        <f>-SUM('3. Outputs'!$C22:$C26)*T2</f>
        <v>-31705.64</v>
      </c>
      <c r="U24" s="169">
        <f>-SUM('3. Outputs'!$C22:$C26)*U2</f>
        <v>-31705.64</v>
      </c>
      <c r="V24" s="169">
        <f>-SUM('3. Outputs'!$C22:$C26)*V2</f>
        <v>-31705.64</v>
      </c>
      <c r="W24" s="169">
        <f>-SUM('3. Outputs'!$C22:$C26)*W2</f>
        <v>0</v>
      </c>
      <c r="X24" s="169">
        <f>-SUM('3. Outputs'!$C22:$C26)*X2</f>
        <v>0</v>
      </c>
      <c r="Y24" s="169">
        <f>-SUM('3. Outputs'!$C22:$C26)*Y2</f>
        <v>0</v>
      </c>
      <c r="Z24" s="169">
        <f>-SUM('3. Outputs'!$C22:$C26)*Z2</f>
        <v>0</v>
      </c>
      <c r="AA24" s="169">
        <f>-SUM('3. Outputs'!$C22:$C26)*AA2</f>
        <v>0</v>
      </c>
      <c r="AB24" s="169">
        <f>-SUM('3. Outputs'!$C22:$C26)*AB2</f>
        <v>0</v>
      </c>
      <c r="AC24" s="169">
        <f>-SUM('3. Outputs'!$C22:$C26)*AC2</f>
        <v>0</v>
      </c>
      <c r="AD24" s="169">
        <f>-SUM('3. Outputs'!$C22:$C26)*AD2</f>
        <v>0</v>
      </c>
      <c r="AE24" s="169">
        <f>-SUM('3. Outputs'!$C22:$C26)*AE2</f>
        <v>0</v>
      </c>
      <c r="AF24" s="169">
        <f>-SUM('3. Outputs'!$C22:$C26)*AF2</f>
        <v>0</v>
      </c>
      <c r="AG24" s="169">
        <f>-SUM('3. Outputs'!$C22:$C26)*AG2</f>
        <v>0</v>
      </c>
      <c r="AH24" s="169">
        <f>-SUM('3. Outputs'!$C22:$C26)*AH2</f>
        <v>0</v>
      </c>
      <c r="AI24" s="169">
        <f>-SUM('3. Outputs'!$C22:$C26)*AI2</f>
        <v>0</v>
      </c>
      <c r="AJ24" s="169">
        <f>-SUM('3. Outputs'!$C22:$C26)*AJ2</f>
        <v>0</v>
      </c>
      <c r="AK24" s="169">
        <f>-SUM('3. Outputs'!$C22:$C26)*AK2</f>
        <v>0</v>
      </c>
    </row>
    <row r="25" spans="1:37" ht="13.5" customHeight="1">
      <c r="A25" s="154"/>
      <c r="B25" s="154"/>
      <c r="C25" s="154" t="s">
        <v>283</v>
      </c>
      <c r="D25" s="158"/>
      <c r="E25" s="169">
        <f t="shared" si="12"/>
        <v>-22760.120142857151</v>
      </c>
      <c r="F25" s="154"/>
      <c r="G25" s="170"/>
      <c r="H25" s="169">
        <f t="shared" ref="H25:AK25" si="14">H13</f>
        <v>0</v>
      </c>
      <c r="I25" s="169">
        <f t="shared" si="14"/>
        <v>-2377.9230000000002</v>
      </c>
      <c r="J25" s="169">
        <f t="shared" si="14"/>
        <v>-2547.7746428571431</v>
      </c>
      <c r="K25" s="169">
        <f t="shared" si="14"/>
        <v>-2743.7573076923081</v>
      </c>
      <c r="L25" s="169">
        <f t="shared" si="14"/>
        <v>-2515.1108653846159</v>
      </c>
      <c r="M25" s="169">
        <f t="shared" si="14"/>
        <v>-2286.4644230769236</v>
      </c>
      <c r="N25" s="169">
        <f t="shared" si="14"/>
        <v>-2057.8179807692313</v>
      </c>
      <c r="O25" s="169">
        <f t="shared" si="14"/>
        <v>-1829.1715384615391</v>
      </c>
      <c r="P25" s="169">
        <f t="shared" si="14"/>
        <v>-1600.5250961538468</v>
      </c>
      <c r="Q25" s="169">
        <f t="shared" si="14"/>
        <v>-1371.8786538461545</v>
      </c>
      <c r="R25" s="169">
        <f t="shared" si="14"/>
        <v>-1143.232211538462</v>
      </c>
      <c r="S25" s="169">
        <f t="shared" si="14"/>
        <v>-914.58576923076953</v>
      </c>
      <c r="T25" s="169">
        <f t="shared" si="14"/>
        <v>-685.93932692307715</v>
      </c>
      <c r="U25" s="169">
        <f t="shared" si="14"/>
        <v>-457.29288461538476</v>
      </c>
      <c r="V25" s="169">
        <f t="shared" si="14"/>
        <v>-228.64644230769238</v>
      </c>
      <c r="W25" s="169">
        <f t="shared" si="14"/>
        <v>0</v>
      </c>
      <c r="X25" s="169">
        <f t="shared" si="14"/>
        <v>0</v>
      </c>
      <c r="Y25" s="169">
        <f t="shared" si="14"/>
        <v>0</v>
      </c>
      <c r="Z25" s="169">
        <f t="shared" si="14"/>
        <v>0</v>
      </c>
      <c r="AA25" s="169">
        <f t="shared" si="14"/>
        <v>0</v>
      </c>
      <c r="AB25" s="169">
        <f t="shared" si="14"/>
        <v>0</v>
      </c>
      <c r="AC25" s="169">
        <f t="shared" si="14"/>
        <v>0</v>
      </c>
      <c r="AD25" s="169">
        <f t="shared" si="14"/>
        <v>0</v>
      </c>
      <c r="AE25" s="169">
        <f t="shared" si="14"/>
        <v>0</v>
      </c>
      <c r="AF25" s="169">
        <f t="shared" si="14"/>
        <v>0</v>
      </c>
      <c r="AG25" s="169">
        <f t="shared" si="14"/>
        <v>0</v>
      </c>
      <c r="AH25" s="169">
        <f t="shared" si="14"/>
        <v>0</v>
      </c>
      <c r="AI25" s="169">
        <f t="shared" si="14"/>
        <v>0</v>
      </c>
      <c r="AJ25" s="169">
        <f t="shared" si="14"/>
        <v>0</v>
      </c>
      <c r="AK25" s="169">
        <f t="shared" si="14"/>
        <v>0</v>
      </c>
    </row>
    <row r="26" spans="1:37" ht="13.5" customHeight="1">
      <c r="A26" s="440"/>
      <c r="B26" s="440"/>
      <c r="C26" s="441" t="s">
        <v>284</v>
      </c>
      <c r="D26" s="442"/>
      <c r="E26" s="443">
        <f t="shared" si="12"/>
        <v>1034682.8798571429</v>
      </c>
      <c r="F26" s="440"/>
      <c r="G26" s="444"/>
      <c r="H26" s="443">
        <f t="shared" ref="H26:AK26" si="15">H23+H25+H24</f>
        <v>70496.2</v>
      </c>
      <c r="I26" s="443">
        <f t="shared" si="15"/>
        <v>68118.277000000002</v>
      </c>
      <c r="J26" s="443">
        <f t="shared" si="15"/>
        <v>67948.425357142856</v>
      </c>
      <c r="K26" s="443">
        <f t="shared" si="15"/>
        <v>67752.442692307683</v>
      </c>
      <c r="L26" s="443">
        <f t="shared" si="15"/>
        <v>67981.08913461538</v>
      </c>
      <c r="M26" s="443">
        <f t="shared" si="15"/>
        <v>68209.735576923078</v>
      </c>
      <c r="N26" s="443">
        <f t="shared" si="15"/>
        <v>68438.382019230761</v>
      </c>
      <c r="O26" s="443">
        <f t="shared" si="15"/>
        <v>68667.028461538459</v>
      </c>
      <c r="P26" s="443">
        <f t="shared" si="15"/>
        <v>68895.674903846157</v>
      </c>
      <c r="Q26" s="443">
        <f t="shared" si="15"/>
        <v>69124.32134615384</v>
      </c>
      <c r="R26" s="443">
        <f t="shared" si="15"/>
        <v>69352.967788461538</v>
      </c>
      <c r="S26" s="443">
        <f t="shared" si="15"/>
        <v>69581.614230769221</v>
      </c>
      <c r="T26" s="443">
        <f t="shared" si="15"/>
        <v>69810.260673076918</v>
      </c>
      <c r="U26" s="443">
        <f t="shared" si="15"/>
        <v>70038.907115384616</v>
      </c>
      <c r="V26" s="443">
        <f t="shared" si="15"/>
        <v>70267.553557692299</v>
      </c>
      <c r="W26" s="443">
        <f t="shared" si="15"/>
        <v>0</v>
      </c>
      <c r="X26" s="443">
        <f t="shared" si="15"/>
        <v>0</v>
      </c>
      <c r="Y26" s="443">
        <f t="shared" si="15"/>
        <v>0</v>
      </c>
      <c r="Z26" s="443">
        <f t="shared" si="15"/>
        <v>0</v>
      </c>
      <c r="AA26" s="443">
        <f t="shared" si="15"/>
        <v>0</v>
      </c>
      <c r="AB26" s="443">
        <f t="shared" si="15"/>
        <v>0</v>
      </c>
      <c r="AC26" s="443">
        <f t="shared" si="15"/>
        <v>0</v>
      </c>
      <c r="AD26" s="443">
        <f t="shared" si="15"/>
        <v>0</v>
      </c>
      <c r="AE26" s="443">
        <f t="shared" si="15"/>
        <v>0</v>
      </c>
      <c r="AF26" s="443">
        <f t="shared" si="15"/>
        <v>0</v>
      </c>
      <c r="AG26" s="443">
        <f t="shared" si="15"/>
        <v>0</v>
      </c>
      <c r="AH26" s="443">
        <f t="shared" si="15"/>
        <v>0</v>
      </c>
      <c r="AI26" s="443">
        <f t="shared" si="15"/>
        <v>0</v>
      </c>
      <c r="AJ26" s="443">
        <f t="shared" si="15"/>
        <v>0</v>
      </c>
      <c r="AK26" s="443">
        <f t="shared" si="15"/>
        <v>0</v>
      </c>
    </row>
    <row r="27" spans="1:37" ht="13.5" customHeight="1">
      <c r="A27" s="154"/>
      <c r="B27" s="154"/>
      <c r="C27" s="154" t="s">
        <v>285</v>
      </c>
      <c r="D27" s="158"/>
      <c r="E27" s="169">
        <f t="shared" si="12"/>
        <v>-313340.67095357139</v>
      </c>
      <c r="F27" s="154"/>
      <c r="G27" s="170"/>
      <c r="H27" s="169">
        <v>20</v>
      </c>
      <c r="I27" s="169">
        <f t="shared" ref="I27:AK27" si="16">-0.325*I26</f>
        <v>-22138.440025</v>
      </c>
      <c r="J27" s="169">
        <f t="shared" si="16"/>
        <v>-22083.238241071431</v>
      </c>
      <c r="K27" s="169">
        <f t="shared" si="16"/>
        <v>-22019.543874999999</v>
      </c>
      <c r="L27" s="169">
        <f t="shared" si="16"/>
        <v>-22093.853968749998</v>
      </c>
      <c r="M27" s="169">
        <f t="shared" si="16"/>
        <v>-22168.1640625</v>
      </c>
      <c r="N27" s="169">
        <f t="shared" si="16"/>
        <v>-22242.474156249998</v>
      </c>
      <c r="O27" s="169">
        <f t="shared" si="16"/>
        <v>-22316.784250000001</v>
      </c>
      <c r="P27" s="169">
        <f t="shared" si="16"/>
        <v>-22391.094343750003</v>
      </c>
      <c r="Q27" s="169">
        <f t="shared" si="16"/>
        <v>-22465.404437499998</v>
      </c>
      <c r="R27" s="169">
        <f t="shared" si="16"/>
        <v>-22539.71453125</v>
      </c>
      <c r="S27" s="169">
        <f t="shared" si="16"/>
        <v>-22614.024624999998</v>
      </c>
      <c r="T27" s="169">
        <f t="shared" si="16"/>
        <v>-22688.33471875</v>
      </c>
      <c r="U27" s="169">
        <f t="shared" si="16"/>
        <v>-22762.644812500002</v>
      </c>
      <c r="V27" s="169">
        <f t="shared" si="16"/>
        <v>-22836.954906249997</v>
      </c>
      <c r="W27" s="169">
        <f t="shared" si="16"/>
        <v>0</v>
      </c>
      <c r="X27" s="169">
        <f t="shared" si="16"/>
        <v>0</v>
      </c>
      <c r="Y27" s="169">
        <f t="shared" si="16"/>
        <v>0</v>
      </c>
      <c r="Z27" s="169">
        <f t="shared" si="16"/>
        <v>0</v>
      </c>
      <c r="AA27" s="169">
        <f t="shared" si="16"/>
        <v>0</v>
      </c>
      <c r="AB27" s="169">
        <f t="shared" si="16"/>
        <v>0</v>
      </c>
      <c r="AC27" s="169">
        <f t="shared" si="16"/>
        <v>0</v>
      </c>
      <c r="AD27" s="169">
        <f t="shared" si="16"/>
        <v>0</v>
      </c>
      <c r="AE27" s="169">
        <f t="shared" si="16"/>
        <v>0</v>
      </c>
      <c r="AF27" s="169">
        <f t="shared" si="16"/>
        <v>0</v>
      </c>
      <c r="AG27" s="169">
        <f t="shared" si="16"/>
        <v>0</v>
      </c>
      <c r="AH27" s="169">
        <f t="shared" si="16"/>
        <v>0</v>
      </c>
      <c r="AI27" s="169">
        <f t="shared" si="16"/>
        <v>0</v>
      </c>
      <c r="AJ27" s="169">
        <f t="shared" si="16"/>
        <v>0</v>
      </c>
      <c r="AK27" s="169">
        <f t="shared" si="16"/>
        <v>0</v>
      </c>
    </row>
    <row r="28" spans="1:37" ht="13.5" customHeight="1">
      <c r="A28" s="154"/>
      <c r="B28" s="154"/>
      <c r="C28" s="163" t="s">
        <v>286</v>
      </c>
      <c r="D28" s="158"/>
      <c r="E28" s="169">
        <f t="shared" si="12"/>
        <v>721342.20890357136</v>
      </c>
      <c r="F28" s="154"/>
      <c r="G28" s="170"/>
      <c r="H28" s="169">
        <f t="shared" ref="H28:AI28" si="17">SUM(H26:H27)</f>
        <v>70516.2</v>
      </c>
      <c r="I28" s="169">
        <f t="shared" si="17"/>
        <v>45979.836974999998</v>
      </c>
      <c r="J28" s="169">
        <f t="shared" si="17"/>
        <v>45865.187116071422</v>
      </c>
      <c r="K28" s="169">
        <f t="shared" si="17"/>
        <v>45732.89881730768</v>
      </c>
      <c r="L28" s="169">
        <f t="shared" si="17"/>
        <v>45887.235165865379</v>
      </c>
      <c r="M28" s="169">
        <f t="shared" si="17"/>
        <v>46041.571514423078</v>
      </c>
      <c r="N28" s="169">
        <f t="shared" si="17"/>
        <v>46195.907862980763</v>
      </c>
      <c r="O28" s="169">
        <f t="shared" si="17"/>
        <v>46350.244211538462</v>
      </c>
      <c r="P28" s="169">
        <f t="shared" si="17"/>
        <v>46504.580560096154</v>
      </c>
      <c r="Q28" s="169">
        <f t="shared" si="17"/>
        <v>46658.916908653846</v>
      </c>
      <c r="R28" s="169">
        <f t="shared" si="17"/>
        <v>46813.253257211538</v>
      </c>
      <c r="S28" s="169">
        <f t="shared" si="17"/>
        <v>46967.589605769223</v>
      </c>
      <c r="T28" s="169">
        <f t="shared" si="17"/>
        <v>47121.925954326915</v>
      </c>
      <c r="U28" s="169">
        <f t="shared" si="17"/>
        <v>47276.262302884614</v>
      </c>
      <c r="V28" s="169">
        <f t="shared" si="17"/>
        <v>47430.598651442298</v>
      </c>
      <c r="W28" s="169">
        <f t="shared" si="17"/>
        <v>0</v>
      </c>
      <c r="X28" s="169">
        <f t="shared" si="17"/>
        <v>0</v>
      </c>
      <c r="Y28" s="169">
        <f t="shared" si="17"/>
        <v>0</v>
      </c>
      <c r="Z28" s="169">
        <f t="shared" si="17"/>
        <v>0</v>
      </c>
      <c r="AA28" s="169">
        <f t="shared" si="17"/>
        <v>0</v>
      </c>
      <c r="AB28" s="169">
        <f t="shared" si="17"/>
        <v>0</v>
      </c>
      <c r="AC28" s="169">
        <f t="shared" si="17"/>
        <v>0</v>
      </c>
      <c r="AD28" s="169">
        <f t="shared" si="17"/>
        <v>0</v>
      </c>
      <c r="AE28" s="169">
        <f t="shared" si="17"/>
        <v>0</v>
      </c>
      <c r="AF28" s="169">
        <f t="shared" si="17"/>
        <v>0</v>
      </c>
      <c r="AG28" s="169">
        <f t="shared" si="17"/>
        <v>0</v>
      </c>
      <c r="AH28" s="169">
        <f t="shared" si="17"/>
        <v>0</v>
      </c>
      <c r="AI28" s="169">
        <f t="shared" si="17"/>
        <v>0</v>
      </c>
      <c r="AJ28" s="169"/>
      <c r="AK28" s="169"/>
    </row>
    <row r="29" spans="1:37" ht="13.5" customHeight="1">
      <c r="A29" s="154"/>
      <c r="B29" s="154"/>
      <c r="C29" s="163" t="s">
        <v>287</v>
      </c>
      <c r="D29" s="158"/>
      <c r="E29" s="184">
        <f>E28/E16</f>
        <v>0.13135613382565262</v>
      </c>
      <c r="F29" s="154"/>
      <c r="G29" s="170"/>
      <c r="H29" s="184">
        <f t="shared" ref="H29:AK29" si="18">IFERROR(H28/H16,0)</f>
        <v>0.19261458617863972</v>
      </c>
      <c r="I29" s="184">
        <f t="shared" si="18"/>
        <v>0.12559365467085495</v>
      </c>
      <c r="J29" s="184">
        <f t="shared" si="18"/>
        <v>0.1252804892544972</v>
      </c>
      <c r="K29" s="184">
        <f t="shared" si="18"/>
        <v>0.12491914454331515</v>
      </c>
      <c r="L29" s="184">
        <f t="shared" si="18"/>
        <v>0.12534071337302752</v>
      </c>
      <c r="M29" s="184">
        <f t="shared" si="18"/>
        <v>0.12576228220273991</v>
      </c>
      <c r="N29" s="184">
        <f t="shared" si="18"/>
        <v>0.12618385103245222</v>
      </c>
      <c r="O29" s="184">
        <f t="shared" si="18"/>
        <v>0.12660541986216461</v>
      </c>
      <c r="P29" s="184">
        <f t="shared" si="18"/>
        <v>0.12702698869187695</v>
      </c>
      <c r="Q29" s="184">
        <f t="shared" si="18"/>
        <v>0.12744855752158932</v>
      </c>
      <c r="R29" s="184">
        <f t="shared" si="18"/>
        <v>0.12787012635130166</v>
      </c>
      <c r="S29" s="184">
        <f t="shared" si="18"/>
        <v>0.12829169518101399</v>
      </c>
      <c r="T29" s="184">
        <f t="shared" si="18"/>
        <v>0.12871326401072633</v>
      </c>
      <c r="U29" s="184">
        <f t="shared" si="18"/>
        <v>0.12913483284043872</v>
      </c>
      <c r="V29" s="184">
        <f t="shared" si="18"/>
        <v>0.12955640167015103</v>
      </c>
      <c r="W29" s="184">
        <f t="shared" si="18"/>
        <v>0</v>
      </c>
      <c r="X29" s="184">
        <f t="shared" si="18"/>
        <v>0</v>
      </c>
      <c r="Y29" s="184">
        <f t="shared" si="18"/>
        <v>0</v>
      </c>
      <c r="Z29" s="184">
        <f t="shared" si="18"/>
        <v>0</v>
      </c>
      <c r="AA29" s="184">
        <f t="shared" si="18"/>
        <v>0</v>
      </c>
      <c r="AB29" s="184">
        <f t="shared" si="18"/>
        <v>0</v>
      </c>
      <c r="AC29" s="184">
        <f t="shared" si="18"/>
        <v>0</v>
      </c>
      <c r="AD29" s="184">
        <f t="shared" si="18"/>
        <v>0</v>
      </c>
      <c r="AE29" s="184">
        <f t="shared" si="18"/>
        <v>0</v>
      </c>
      <c r="AF29" s="184">
        <f t="shared" si="18"/>
        <v>0</v>
      </c>
      <c r="AG29" s="184">
        <f t="shared" si="18"/>
        <v>0</v>
      </c>
      <c r="AH29" s="184">
        <f t="shared" si="18"/>
        <v>0</v>
      </c>
      <c r="AI29" s="184">
        <f t="shared" si="18"/>
        <v>0</v>
      </c>
      <c r="AJ29" s="184">
        <f t="shared" si="18"/>
        <v>0</v>
      </c>
      <c r="AK29" s="184">
        <f t="shared" si="18"/>
        <v>0</v>
      </c>
    </row>
    <row r="30" spans="1:37" ht="13.5" customHeight="1" collapsed="1">
      <c r="A30" s="185"/>
      <c r="B30" s="185"/>
      <c r="C30" s="185" t="s">
        <v>288</v>
      </c>
      <c r="D30" s="185"/>
      <c r="E30" s="186">
        <f>SUM(H30:AK30)</f>
        <v>1219686.9290464285</v>
      </c>
      <c r="F30" s="185"/>
      <c r="G30" s="187"/>
      <c r="H30" s="186">
        <f t="shared" ref="H30:AI30" si="19">H23+H27</f>
        <v>102221.84</v>
      </c>
      <c r="I30" s="186">
        <f t="shared" si="19"/>
        <v>80063.399974999993</v>
      </c>
      <c r="J30" s="186">
        <f t="shared" si="19"/>
        <v>80118.601758928562</v>
      </c>
      <c r="K30" s="186">
        <f t="shared" si="19"/>
        <v>80182.296124999993</v>
      </c>
      <c r="L30" s="186">
        <f t="shared" si="19"/>
        <v>80107.986031249995</v>
      </c>
      <c r="M30" s="186">
        <f t="shared" si="19"/>
        <v>80033.675937499997</v>
      </c>
      <c r="N30" s="186">
        <f t="shared" si="19"/>
        <v>79959.365843749998</v>
      </c>
      <c r="O30" s="186">
        <f t="shared" si="19"/>
        <v>79885.05575</v>
      </c>
      <c r="P30" s="186">
        <f t="shared" si="19"/>
        <v>79810.745656249986</v>
      </c>
      <c r="Q30" s="186">
        <f t="shared" si="19"/>
        <v>79736.435562500003</v>
      </c>
      <c r="R30" s="186">
        <f t="shared" si="19"/>
        <v>79662.12546874999</v>
      </c>
      <c r="S30" s="186">
        <f t="shared" si="19"/>
        <v>79587.815375000006</v>
      </c>
      <c r="T30" s="186">
        <f t="shared" si="19"/>
        <v>79513.505281249993</v>
      </c>
      <c r="U30" s="186">
        <f t="shared" si="19"/>
        <v>79439.195187499994</v>
      </c>
      <c r="V30" s="186">
        <f t="shared" si="19"/>
        <v>79364.885093749996</v>
      </c>
      <c r="W30" s="186">
        <f t="shared" si="19"/>
        <v>0</v>
      </c>
      <c r="X30" s="186">
        <f t="shared" si="19"/>
        <v>0</v>
      </c>
      <c r="Y30" s="186">
        <f t="shared" si="19"/>
        <v>0</v>
      </c>
      <c r="Z30" s="186">
        <f t="shared" si="19"/>
        <v>0</v>
      </c>
      <c r="AA30" s="186">
        <f t="shared" si="19"/>
        <v>0</v>
      </c>
      <c r="AB30" s="186">
        <f t="shared" si="19"/>
        <v>0</v>
      </c>
      <c r="AC30" s="186">
        <f t="shared" si="19"/>
        <v>0</v>
      </c>
      <c r="AD30" s="186">
        <f t="shared" si="19"/>
        <v>0</v>
      </c>
      <c r="AE30" s="186">
        <f t="shared" si="19"/>
        <v>0</v>
      </c>
      <c r="AF30" s="186">
        <f t="shared" si="19"/>
        <v>0</v>
      </c>
      <c r="AG30" s="186">
        <f t="shared" si="19"/>
        <v>0</v>
      </c>
      <c r="AH30" s="186">
        <f t="shared" si="19"/>
        <v>0</v>
      </c>
      <c r="AI30" s="186">
        <f t="shared" si="19"/>
        <v>0</v>
      </c>
      <c r="AJ30" s="186">
        <f t="shared" ref="AJ30:AK30" si="20">SUM(AJ26:AJ27)</f>
        <v>0</v>
      </c>
      <c r="AK30" s="186">
        <f t="shared" si="20"/>
        <v>0</v>
      </c>
    </row>
    <row r="31" spans="1:37" ht="13.5" hidden="1" customHeight="1" outlineLevel="1">
      <c r="A31" s="168"/>
      <c r="B31" s="168"/>
      <c r="C31" s="168" t="s">
        <v>289</v>
      </c>
      <c r="D31" s="188"/>
      <c r="E31" s="168"/>
      <c r="F31" s="168"/>
      <c r="G31" s="189"/>
      <c r="H31" s="190" t="e" vm="1">
        <f>(H30+I31)/(1+'2. Cost Inputs'!$B$84)*H2</f>
        <v>#VALUE!</v>
      </c>
      <c r="I31" s="190" t="e" vm="1">
        <f t="shared" ref="I31:AJ31" si="21">(I30+J31)/(1+[1]Inputs!$C$23)*I2</f>
        <v>#VALUE!</v>
      </c>
      <c r="J31" s="190" t="e" vm="1">
        <f t="shared" si="21"/>
        <v>#VALUE!</v>
      </c>
      <c r="K31" s="190" t="e" vm="1">
        <f t="shared" si="21"/>
        <v>#VALUE!</v>
      </c>
      <c r="L31" s="190" t="e" vm="1">
        <f t="shared" si="21"/>
        <v>#VALUE!</v>
      </c>
      <c r="M31" s="190" t="e" vm="1">
        <f t="shared" si="21"/>
        <v>#VALUE!</v>
      </c>
      <c r="N31" s="190" t="e" vm="1">
        <f t="shared" si="21"/>
        <v>#VALUE!</v>
      </c>
      <c r="O31" s="190" t="e" vm="1">
        <f t="shared" si="21"/>
        <v>#VALUE!</v>
      </c>
      <c r="P31" s="190" t="e" vm="1">
        <f t="shared" si="21"/>
        <v>#VALUE!</v>
      </c>
      <c r="Q31" s="190" t="e" vm="1">
        <f t="shared" si="21"/>
        <v>#VALUE!</v>
      </c>
      <c r="R31" s="190" t="e" vm="1">
        <f t="shared" si="21"/>
        <v>#VALUE!</v>
      </c>
      <c r="S31" s="190" t="e" vm="1">
        <f t="shared" si="21"/>
        <v>#VALUE!</v>
      </c>
      <c r="T31" s="190" t="e" vm="1">
        <f t="shared" si="21"/>
        <v>#VALUE!</v>
      </c>
      <c r="U31" s="190" t="e" vm="1">
        <f t="shared" si="21"/>
        <v>#VALUE!</v>
      </c>
      <c r="V31" s="190" t="e" vm="1">
        <f t="shared" si="21"/>
        <v>#VALUE!</v>
      </c>
      <c r="W31" s="190" t="e" vm="1">
        <f t="shared" si="21"/>
        <v>#VALUE!</v>
      </c>
      <c r="X31" s="190" t="e" vm="1">
        <f t="shared" si="21"/>
        <v>#VALUE!</v>
      </c>
      <c r="Y31" s="190" t="e" vm="1">
        <f t="shared" si="21"/>
        <v>#VALUE!</v>
      </c>
      <c r="Z31" s="190" t="e" vm="1">
        <f t="shared" si="21"/>
        <v>#VALUE!</v>
      </c>
      <c r="AA31" s="190" t="e" vm="1">
        <f t="shared" si="21"/>
        <v>#VALUE!</v>
      </c>
      <c r="AB31" s="190" t="e" vm="1">
        <f t="shared" si="21"/>
        <v>#VALUE!</v>
      </c>
      <c r="AC31" s="190" t="e" vm="1">
        <f t="shared" si="21"/>
        <v>#VALUE!</v>
      </c>
      <c r="AD31" s="190" t="e" vm="1">
        <f t="shared" si="21"/>
        <v>#VALUE!</v>
      </c>
      <c r="AE31" s="190" t="e" vm="1">
        <f t="shared" si="21"/>
        <v>#VALUE!</v>
      </c>
      <c r="AF31" s="190" t="e" vm="1">
        <f t="shared" si="21"/>
        <v>#VALUE!</v>
      </c>
      <c r="AG31" s="190" t="e" vm="1">
        <f t="shared" si="21"/>
        <v>#VALUE!</v>
      </c>
      <c r="AH31" s="190" t="e" vm="1">
        <f t="shared" si="21"/>
        <v>#VALUE!</v>
      </c>
      <c r="AI31" s="190" t="e" vm="1">
        <f t="shared" si="21"/>
        <v>#VALUE!</v>
      </c>
      <c r="AJ31" s="190" t="e" vm="1">
        <f t="shared" si="21"/>
        <v>#VALUE!</v>
      </c>
      <c r="AK31" s="190" t="e" vm="2">
        <f>(AK30)/(1+[1]Inputs!$C$23)*AK2</f>
        <v>#VALUE!</v>
      </c>
    </row>
    <row r="32" spans="1:37" ht="13.5" hidden="1" customHeight="1" outlineLevel="1">
      <c r="A32" s="168"/>
      <c r="B32" s="168"/>
      <c r="C32" s="168" t="s">
        <v>290</v>
      </c>
      <c r="D32" s="188"/>
      <c r="E32" s="168"/>
      <c r="F32" s="168"/>
      <c r="G32" s="189"/>
      <c r="H32" s="191">
        <f t="shared" ref="H32:AK32" si="22">-IF(H11=0,0,H30/H11)</f>
        <v>0</v>
      </c>
      <c r="I32" s="191">
        <f t="shared" si="22"/>
        <v>13.863898176117162</v>
      </c>
      <c r="J32" s="191">
        <f t="shared" si="22"/>
        <v>12.388016149179364</v>
      </c>
      <c r="K32" s="191">
        <f t="shared" si="22"/>
        <v>10.958826774721047</v>
      </c>
      <c r="L32" s="191">
        <f t="shared" si="22"/>
        <v>11.301853444873339</v>
      </c>
      <c r="M32" s="191">
        <f t="shared" si="22"/>
        <v>11.667748559702449</v>
      </c>
      <c r="N32" s="191">
        <f t="shared" si="22"/>
        <v>12.058877820381843</v>
      </c>
      <c r="O32" s="191">
        <f t="shared" si="22"/>
        <v>12.47794488539548</v>
      </c>
      <c r="P32" s="191">
        <f t="shared" si="22"/>
        <v>12.928053955224941</v>
      </c>
      <c r="Q32" s="191">
        <f t="shared" si="22"/>
        <v>13.41278679965667</v>
      </c>
      <c r="R32" s="191">
        <f t="shared" si="22"/>
        <v>13.936298271642936</v>
      </c>
      <c r="S32" s="191">
        <f t="shared" si="22"/>
        <v>14.503435699628064</v>
      </c>
      <c r="T32" s="191">
        <f t="shared" si="22"/>
        <v>15.119889425698846</v>
      </c>
      <c r="U32" s="191">
        <f t="shared" si="22"/>
        <v>15.792384399594248</v>
      </c>
      <c r="V32" s="191">
        <f t="shared" si="22"/>
        <v>16.52892651386064</v>
      </c>
      <c r="W32" s="191">
        <f t="shared" si="22"/>
        <v>0</v>
      </c>
      <c r="X32" s="191">
        <f t="shared" si="22"/>
        <v>0</v>
      </c>
      <c r="Y32" s="191">
        <f t="shared" si="22"/>
        <v>0</v>
      </c>
      <c r="Z32" s="191">
        <f t="shared" si="22"/>
        <v>0</v>
      </c>
      <c r="AA32" s="191">
        <f t="shared" si="22"/>
        <v>0</v>
      </c>
      <c r="AB32" s="191">
        <f t="shared" si="22"/>
        <v>0</v>
      </c>
      <c r="AC32" s="191">
        <f t="shared" si="22"/>
        <v>0</v>
      </c>
      <c r="AD32" s="191">
        <f t="shared" si="22"/>
        <v>0</v>
      </c>
      <c r="AE32" s="191">
        <f t="shared" si="22"/>
        <v>0</v>
      </c>
      <c r="AF32" s="191">
        <f t="shared" si="22"/>
        <v>0</v>
      </c>
      <c r="AG32" s="191">
        <f t="shared" si="22"/>
        <v>0</v>
      </c>
      <c r="AH32" s="191">
        <f t="shared" si="22"/>
        <v>0</v>
      </c>
      <c r="AI32" s="191">
        <f t="shared" si="22"/>
        <v>0</v>
      </c>
      <c r="AJ32" s="191">
        <f t="shared" si="22"/>
        <v>0</v>
      </c>
      <c r="AK32" s="191">
        <f t="shared" si="22"/>
        <v>0</v>
      </c>
    </row>
    <row r="33" spans="1:37" ht="13.5" hidden="1" customHeight="1" outlineLevel="1">
      <c r="A33" s="168"/>
      <c r="B33" s="168"/>
      <c r="C33" s="168" t="s">
        <v>291</v>
      </c>
      <c r="D33" s="188"/>
      <c r="E33" s="168"/>
      <c r="F33" s="168"/>
      <c r="G33" s="189"/>
      <c r="H33" s="191" t="e" vm="1">
        <f t="shared" ref="H33:AK33" si="23">-IF(H12=0, 0, H31/H12)*H2</f>
        <v>#VALUE!</v>
      </c>
      <c r="I33" s="191" t="e" vm="1">
        <f t="shared" si="23"/>
        <v>#VALUE!</v>
      </c>
      <c r="J33" s="191" t="e" vm="1">
        <f t="shared" si="23"/>
        <v>#VALUE!</v>
      </c>
      <c r="K33" s="191" t="e" vm="1">
        <f t="shared" si="23"/>
        <v>#VALUE!</v>
      </c>
      <c r="L33" s="191" t="e" vm="1">
        <f t="shared" si="23"/>
        <v>#VALUE!</v>
      </c>
      <c r="M33" s="191" t="e" vm="1">
        <f t="shared" si="23"/>
        <v>#VALUE!</v>
      </c>
      <c r="N33" s="191" t="e" vm="1">
        <f t="shared" si="23"/>
        <v>#VALUE!</v>
      </c>
      <c r="O33" s="191" t="e" vm="1">
        <f t="shared" si="23"/>
        <v>#VALUE!</v>
      </c>
      <c r="P33" s="191" t="e" vm="1">
        <f t="shared" si="23"/>
        <v>#VALUE!</v>
      </c>
      <c r="Q33" s="191" t="e" vm="1">
        <f t="shared" si="23"/>
        <v>#VALUE!</v>
      </c>
      <c r="R33" s="191" t="e" vm="1">
        <f t="shared" si="23"/>
        <v>#VALUE!</v>
      </c>
      <c r="S33" s="191" t="e" vm="1">
        <f t="shared" si="23"/>
        <v>#VALUE!</v>
      </c>
      <c r="T33" s="191" t="e" vm="1">
        <f t="shared" si="23"/>
        <v>#VALUE!</v>
      </c>
      <c r="U33" s="191" t="e" vm="1">
        <f t="shared" si="23"/>
        <v>#VALUE!</v>
      </c>
      <c r="V33" s="191">
        <f t="shared" si="23"/>
        <v>0</v>
      </c>
      <c r="W33" s="191">
        <f t="shared" si="23"/>
        <v>0</v>
      </c>
      <c r="X33" s="191">
        <f t="shared" si="23"/>
        <v>0</v>
      </c>
      <c r="Y33" s="191">
        <f t="shared" si="23"/>
        <v>0</v>
      </c>
      <c r="Z33" s="191">
        <f t="shared" si="23"/>
        <v>0</v>
      </c>
      <c r="AA33" s="191">
        <f t="shared" si="23"/>
        <v>0</v>
      </c>
      <c r="AB33" s="191">
        <f t="shared" si="23"/>
        <v>0</v>
      </c>
      <c r="AC33" s="191">
        <f t="shared" si="23"/>
        <v>0</v>
      </c>
      <c r="AD33" s="191">
        <f t="shared" si="23"/>
        <v>0</v>
      </c>
      <c r="AE33" s="191">
        <f t="shared" si="23"/>
        <v>0</v>
      </c>
      <c r="AF33" s="191">
        <f t="shared" si="23"/>
        <v>0</v>
      </c>
      <c r="AG33" s="191">
        <f t="shared" si="23"/>
        <v>0</v>
      </c>
      <c r="AH33" s="191">
        <f t="shared" si="23"/>
        <v>0</v>
      </c>
      <c r="AI33" s="191">
        <f t="shared" si="23"/>
        <v>0</v>
      </c>
      <c r="AJ33" s="191">
        <f t="shared" si="23"/>
        <v>0</v>
      </c>
      <c r="AK33" s="191">
        <f t="shared" si="23"/>
        <v>0</v>
      </c>
    </row>
    <row r="34" spans="1:37" ht="13.5" customHeight="1">
      <c r="A34" s="154"/>
      <c r="B34" s="162" t="s">
        <v>292</v>
      </c>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row>
    <row r="35" spans="1:37" ht="13.5" customHeight="1">
      <c r="A35" s="154"/>
      <c r="B35" s="154"/>
      <c r="C35" s="154" t="s">
        <v>293</v>
      </c>
      <c r="D35" s="158"/>
      <c r="E35" s="169">
        <f t="shared" ref="E35:E36" si="24">SUM(H35:AK35)</f>
        <v>1157495.0967387359</v>
      </c>
      <c r="F35" s="154"/>
      <c r="G35" s="154"/>
      <c r="H35" s="169">
        <f t="shared" ref="H35:AK35" si="25">H14+H30</f>
        <v>102221.84</v>
      </c>
      <c r="I35" s="169">
        <f t="shared" si="25"/>
        <v>76666.367117857139</v>
      </c>
      <c r="J35" s="169">
        <f t="shared" si="25"/>
        <v>76198.948462225264</v>
      </c>
      <c r="K35" s="169">
        <f t="shared" si="25"/>
        <v>75609.367278846141</v>
      </c>
      <c r="L35" s="169">
        <f t="shared" si="25"/>
        <v>75535.057185096142</v>
      </c>
      <c r="M35" s="169">
        <f t="shared" si="25"/>
        <v>75460.747091346144</v>
      </c>
      <c r="N35" s="169">
        <f t="shared" si="25"/>
        <v>75386.436997596145</v>
      </c>
      <c r="O35" s="169">
        <f t="shared" si="25"/>
        <v>75312.126903846147</v>
      </c>
      <c r="P35" s="169">
        <f t="shared" si="25"/>
        <v>75237.816810096134</v>
      </c>
      <c r="Q35" s="169">
        <f t="shared" si="25"/>
        <v>75163.50671634615</v>
      </c>
      <c r="R35" s="169">
        <f t="shared" si="25"/>
        <v>75089.196622596137</v>
      </c>
      <c r="S35" s="169">
        <f t="shared" si="25"/>
        <v>75014.886528846153</v>
      </c>
      <c r="T35" s="169">
        <f t="shared" si="25"/>
        <v>74940.57643509614</v>
      </c>
      <c r="U35" s="169">
        <f t="shared" si="25"/>
        <v>74866.266341346141</v>
      </c>
      <c r="V35" s="169">
        <f t="shared" si="25"/>
        <v>74791.956247596143</v>
      </c>
      <c r="W35" s="169">
        <f t="shared" si="25"/>
        <v>0</v>
      </c>
      <c r="X35" s="169">
        <f t="shared" si="25"/>
        <v>0</v>
      </c>
      <c r="Y35" s="169">
        <f t="shared" si="25"/>
        <v>0</v>
      </c>
      <c r="Z35" s="169">
        <f t="shared" si="25"/>
        <v>0</v>
      </c>
      <c r="AA35" s="169">
        <f t="shared" si="25"/>
        <v>0</v>
      </c>
      <c r="AB35" s="169">
        <f t="shared" si="25"/>
        <v>0</v>
      </c>
      <c r="AC35" s="169">
        <f t="shared" si="25"/>
        <v>0</v>
      </c>
      <c r="AD35" s="169">
        <f t="shared" si="25"/>
        <v>0</v>
      </c>
      <c r="AE35" s="169">
        <f t="shared" si="25"/>
        <v>0</v>
      </c>
      <c r="AF35" s="169">
        <f t="shared" si="25"/>
        <v>0</v>
      </c>
      <c r="AG35" s="169">
        <f t="shared" si="25"/>
        <v>0</v>
      </c>
      <c r="AH35" s="169">
        <f t="shared" si="25"/>
        <v>0</v>
      </c>
      <c r="AI35" s="169">
        <f t="shared" si="25"/>
        <v>0</v>
      </c>
      <c r="AJ35" s="169">
        <f t="shared" si="25"/>
        <v>0</v>
      </c>
      <c r="AK35" s="169">
        <f t="shared" si="25"/>
        <v>0</v>
      </c>
    </row>
    <row r="36" spans="1:37" ht="13.5" customHeight="1">
      <c r="A36" s="154"/>
      <c r="B36" s="154"/>
      <c r="C36" s="154" t="s">
        <v>245</v>
      </c>
      <c r="D36" s="158"/>
      <c r="E36" s="192">
        <f t="shared" si="24"/>
        <v>729468.95673873613</v>
      </c>
      <c r="F36" s="154"/>
      <c r="G36" s="154"/>
      <c r="H36" s="169">
        <f t="shared" ref="H36:AK36" si="26">H35+H8</f>
        <v>-325804.30000000005</v>
      </c>
      <c r="I36" s="169">
        <f t="shared" si="26"/>
        <v>76666.367117857139</v>
      </c>
      <c r="J36" s="169">
        <f t="shared" si="26"/>
        <v>76198.948462225264</v>
      </c>
      <c r="K36" s="169">
        <f t="shared" si="26"/>
        <v>75609.367278846141</v>
      </c>
      <c r="L36" s="169">
        <f t="shared" si="26"/>
        <v>75535.057185096142</v>
      </c>
      <c r="M36" s="169">
        <f t="shared" si="26"/>
        <v>75460.747091346144</v>
      </c>
      <c r="N36" s="169">
        <f t="shared" si="26"/>
        <v>75386.436997596145</v>
      </c>
      <c r="O36" s="169">
        <f t="shared" si="26"/>
        <v>75312.126903846147</v>
      </c>
      <c r="P36" s="169">
        <f t="shared" si="26"/>
        <v>75237.816810096134</v>
      </c>
      <c r="Q36" s="169">
        <f t="shared" si="26"/>
        <v>75163.50671634615</v>
      </c>
      <c r="R36" s="169">
        <f t="shared" si="26"/>
        <v>75089.196622596137</v>
      </c>
      <c r="S36" s="169">
        <f t="shared" si="26"/>
        <v>75014.886528846153</v>
      </c>
      <c r="T36" s="169">
        <f t="shared" si="26"/>
        <v>74940.57643509614</v>
      </c>
      <c r="U36" s="169">
        <f t="shared" si="26"/>
        <v>74866.266341346141</v>
      </c>
      <c r="V36" s="169">
        <f t="shared" si="26"/>
        <v>74791.956247596143</v>
      </c>
      <c r="W36" s="169">
        <f t="shared" si="26"/>
        <v>0</v>
      </c>
      <c r="X36" s="169">
        <f t="shared" si="26"/>
        <v>0</v>
      </c>
      <c r="Y36" s="169">
        <f t="shared" si="26"/>
        <v>0</v>
      </c>
      <c r="Z36" s="169">
        <f t="shared" si="26"/>
        <v>0</v>
      </c>
      <c r="AA36" s="169">
        <f t="shared" si="26"/>
        <v>0</v>
      </c>
      <c r="AB36" s="169">
        <f t="shared" si="26"/>
        <v>0</v>
      </c>
      <c r="AC36" s="169">
        <f t="shared" si="26"/>
        <v>0</v>
      </c>
      <c r="AD36" s="169">
        <f t="shared" si="26"/>
        <v>0</v>
      </c>
      <c r="AE36" s="169">
        <f t="shared" si="26"/>
        <v>0</v>
      </c>
      <c r="AF36" s="169">
        <f t="shared" si="26"/>
        <v>0</v>
      </c>
      <c r="AG36" s="169">
        <f t="shared" si="26"/>
        <v>0</v>
      </c>
      <c r="AH36" s="169">
        <f t="shared" si="26"/>
        <v>0</v>
      </c>
      <c r="AI36" s="169">
        <f t="shared" si="26"/>
        <v>0</v>
      </c>
      <c r="AJ36" s="169">
        <f t="shared" si="26"/>
        <v>0</v>
      </c>
      <c r="AK36" s="169">
        <f t="shared" si="26"/>
        <v>0</v>
      </c>
    </row>
    <row r="37" spans="1:37" ht="13.5" customHeight="1">
      <c r="A37" s="154"/>
      <c r="B37" s="154"/>
      <c r="C37" s="154" t="s">
        <v>294</v>
      </c>
      <c r="D37" s="158"/>
      <c r="E37" s="192"/>
      <c r="F37" s="154"/>
      <c r="G37" s="154"/>
      <c r="H37" s="169">
        <f t="shared" ref="H37:AK37" si="27">G37+H36</f>
        <v>-325804.30000000005</v>
      </c>
      <c r="I37" s="169">
        <f t="shared" si="27"/>
        <v>-249137.93288214289</v>
      </c>
      <c r="J37" s="169">
        <f t="shared" si="27"/>
        <v>-172938.98441991763</v>
      </c>
      <c r="K37" s="169">
        <f t="shared" si="27"/>
        <v>-97329.617141071489</v>
      </c>
      <c r="L37" s="169">
        <f t="shared" si="27"/>
        <v>-21794.559955975346</v>
      </c>
      <c r="M37" s="169">
        <f t="shared" si="27"/>
        <v>53666.187135370797</v>
      </c>
      <c r="N37" s="169">
        <f t="shared" si="27"/>
        <v>129052.62413296694</v>
      </c>
      <c r="O37" s="169">
        <f t="shared" si="27"/>
        <v>204364.75103681308</v>
      </c>
      <c r="P37" s="169">
        <f t="shared" si="27"/>
        <v>279602.56784690922</v>
      </c>
      <c r="Q37" s="169">
        <f t="shared" si="27"/>
        <v>354766.07456325536</v>
      </c>
      <c r="R37" s="169">
        <f t="shared" si="27"/>
        <v>429855.27118585148</v>
      </c>
      <c r="S37" s="169">
        <f t="shared" si="27"/>
        <v>504870.15771469765</v>
      </c>
      <c r="T37" s="169">
        <f t="shared" si="27"/>
        <v>579810.73414979375</v>
      </c>
      <c r="U37" s="169">
        <f t="shared" si="27"/>
        <v>654677.00049113994</v>
      </c>
      <c r="V37" s="169">
        <f t="shared" si="27"/>
        <v>729468.95673873613</v>
      </c>
      <c r="W37" s="169">
        <f t="shared" si="27"/>
        <v>729468.95673873613</v>
      </c>
      <c r="X37" s="169">
        <f t="shared" si="27"/>
        <v>729468.95673873613</v>
      </c>
      <c r="Y37" s="169">
        <f t="shared" si="27"/>
        <v>729468.95673873613</v>
      </c>
      <c r="Z37" s="169">
        <f t="shared" si="27"/>
        <v>729468.95673873613</v>
      </c>
      <c r="AA37" s="169">
        <f t="shared" si="27"/>
        <v>729468.95673873613</v>
      </c>
      <c r="AB37" s="169">
        <f t="shared" si="27"/>
        <v>729468.95673873613</v>
      </c>
      <c r="AC37" s="169">
        <f t="shared" si="27"/>
        <v>729468.95673873613</v>
      </c>
      <c r="AD37" s="169">
        <f t="shared" si="27"/>
        <v>729468.95673873613</v>
      </c>
      <c r="AE37" s="169">
        <f t="shared" si="27"/>
        <v>729468.95673873613</v>
      </c>
      <c r="AF37" s="169">
        <f t="shared" si="27"/>
        <v>729468.95673873613</v>
      </c>
      <c r="AG37" s="169">
        <f t="shared" si="27"/>
        <v>729468.95673873613</v>
      </c>
      <c r="AH37" s="169">
        <f t="shared" si="27"/>
        <v>729468.95673873613</v>
      </c>
      <c r="AI37" s="169">
        <f t="shared" si="27"/>
        <v>729468.95673873613</v>
      </c>
      <c r="AJ37" s="169">
        <f t="shared" si="27"/>
        <v>729468.95673873613</v>
      </c>
      <c r="AK37" s="169">
        <f t="shared" si="27"/>
        <v>729468.95673873613</v>
      </c>
    </row>
    <row r="38" spans="1:37" ht="13.5" customHeight="1">
      <c r="A38" s="154"/>
      <c r="B38" s="154"/>
      <c r="C38" s="193" t="s">
        <v>231</v>
      </c>
      <c r="D38" s="194"/>
      <c r="E38" s="195">
        <f t="array" ref="E38">NPV('2. Cost Inputs'!$B$85,E36:AK36)</f>
        <v>853895.83758228633</v>
      </c>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row>
    <row r="39" spans="1:37" ht="13.5" customHeight="1">
      <c r="A39" s="154"/>
      <c r="B39" s="154"/>
      <c r="C39" s="196" t="s">
        <v>235</v>
      </c>
      <c r="D39" s="197"/>
      <c r="E39" s="198">
        <f>IRR(H36:AK36)</f>
        <v>0.21772926360776457</v>
      </c>
      <c r="F39" s="154"/>
      <c r="G39" s="154"/>
      <c r="H39" s="184">
        <f>IFERROR(IRR(H36),0)</f>
        <v>0</v>
      </c>
      <c r="I39" s="184">
        <f>IFERROR(IRR(H36:I36),0)</f>
        <v>-0.7646858340486693</v>
      </c>
      <c r="J39" s="184">
        <f>IFERROR(IRR(H36:J36),0)</f>
        <v>-0.38462543256958048</v>
      </c>
      <c r="K39" s="184">
        <f>IFERROR(IRR(H36:K36),0)</f>
        <v>-0.15875047895176753</v>
      </c>
      <c r="L39" s="184">
        <f>IFERROR(IRR(H36:L36),0)</f>
        <v>-2.7200054957416064E-2</v>
      </c>
      <c r="M39" s="184">
        <f>IFERROR(IRR(H36:M36),0)</f>
        <v>5.3232693459365432E-2</v>
      </c>
      <c r="N39" s="184">
        <f>IFERROR(IRR(H36:N36),0)</f>
        <v>0.10489569089732598</v>
      </c>
      <c r="O39" s="184">
        <f>IFERROR(IRR(H36:O36),0)</f>
        <v>0.13946668150041641</v>
      </c>
      <c r="P39" s="184">
        <f>IFERROR(IRR(H36:P36),0)</f>
        <v>0.16337570760614906</v>
      </c>
      <c r="Q39" s="184">
        <f>IFERROR(IRR(H36:Q36),0)</f>
        <v>0.18035565238145868</v>
      </c>
      <c r="R39" s="184">
        <f>IFERROR(IRR(H36:R36),0)</f>
        <v>0.19267695441578314</v>
      </c>
      <c r="S39" s="184">
        <f>IFERROR(IRR(H36:S36),0)</f>
        <v>0.20177660015281429</v>
      </c>
      <c r="T39" s="184">
        <f t="shared" ref="T39:AK39" si="28">IFERROR(IRR($H36:T36),0)</f>
        <v>0.20859532952649795</v>
      </c>
      <c r="U39" s="184">
        <f t="shared" si="28"/>
        <v>0.21376698323431254</v>
      </c>
      <c r="V39" s="184">
        <f t="shared" si="28"/>
        <v>0.21772926360776457</v>
      </c>
      <c r="W39" s="184">
        <f t="shared" si="28"/>
        <v>0.21772926360776457</v>
      </c>
      <c r="X39" s="184">
        <f t="shared" si="28"/>
        <v>0.21772926360776457</v>
      </c>
      <c r="Y39" s="184">
        <f t="shared" si="28"/>
        <v>0.21772926360776457</v>
      </c>
      <c r="Z39" s="184">
        <f t="shared" si="28"/>
        <v>0.21772926360776457</v>
      </c>
      <c r="AA39" s="184">
        <f t="shared" si="28"/>
        <v>0.21772926360776457</v>
      </c>
      <c r="AB39" s="184">
        <f t="shared" si="28"/>
        <v>0.21772926360776457</v>
      </c>
      <c r="AC39" s="184">
        <f t="shared" si="28"/>
        <v>0.21772926360776457</v>
      </c>
      <c r="AD39" s="184">
        <f t="shared" si="28"/>
        <v>0.21772926360776457</v>
      </c>
      <c r="AE39" s="184">
        <f t="shared" si="28"/>
        <v>0.21772926360776457</v>
      </c>
      <c r="AF39" s="184">
        <f t="shared" si="28"/>
        <v>0.21772926360776457</v>
      </c>
      <c r="AG39" s="184">
        <f t="shared" si="28"/>
        <v>0.21772926360776457</v>
      </c>
      <c r="AH39" s="184">
        <f t="shared" si="28"/>
        <v>0.21772926360776457</v>
      </c>
      <c r="AI39" s="184">
        <f t="shared" si="28"/>
        <v>0.21772926360776457</v>
      </c>
      <c r="AJ39" s="184">
        <f t="shared" si="28"/>
        <v>0.21772926360776457</v>
      </c>
      <c r="AK39" s="184">
        <f t="shared" si="28"/>
        <v>0.21772926360776457</v>
      </c>
    </row>
    <row r="40" spans="1:37" ht="13.5" customHeight="1">
      <c r="A40" s="154"/>
      <c r="B40" s="154"/>
      <c r="C40" s="154"/>
      <c r="D40" s="154"/>
      <c r="E40" s="154"/>
      <c r="F40" s="154"/>
      <c r="G40" s="154"/>
      <c r="H40" s="154">
        <f>E6/K30</f>
        <v>-5.9312918559801355</v>
      </c>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row>
    <row r="41" spans="1:37" ht="13.5" customHeight="1">
      <c r="A41" s="154"/>
      <c r="B41" s="154"/>
      <c r="C41" s="199" t="s">
        <v>295</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row>
    <row r="42" spans="1:37" ht="13.5" customHeight="1">
      <c r="A42" s="154"/>
      <c r="B42" s="154"/>
      <c r="C42" s="154" t="s">
        <v>296</v>
      </c>
      <c r="D42" s="158"/>
      <c r="E42" s="154"/>
      <c r="F42" s="154"/>
      <c r="G42" s="200"/>
      <c r="H42" s="171">
        <f t="shared" ref="H42:AK42" si="29">H7</f>
        <v>-475584.60000000003</v>
      </c>
      <c r="I42" s="171">
        <f t="shared" si="29"/>
        <v>0</v>
      </c>
      <c r="J42" s="171">
        <f t="shared" si="29"/>
        <v>0</v>
      </c>
      <c r="K42" s="171">
        <f t="shared" si="29"/>
        <v>0</v>
      </c>
      <c r="L42" s="171">
        <f t="shared" si="29"/>
        <v>0</v>
      </c>
      <c r="M42" s="171">
        <f t="shared" si="29"/>
        <v>0</v>
      </c>
      <c r="N42" s="171">
        <f t="shared" si="29"/>
        <v>0</v>
      </c>
      <c r="O42" s="171">
        <f t="shared" si="29"/>
        <v>0</v>
      </c>
      <c r="P42" s="171">
        <f t="shared" si="29"/>
        <v>0</v>
      </c>
      <c r="Q42" s="171">
        <f t="shared" si="29"/>
        <v>0</v>
      </c>
      <c r="R42" s="171">
        <f t="shared" si="29"/>
        <v>0</v>
      </c>
      <c r="S42" s="171">
        <f t="shared" si="29"/>
        <v>0</v>
      </c>
      <c r="T42" s="171">
        <f t="shared" si="29"/>
        <v>0</v>
      </c>
      <c r="U42" s="171">
        <f t="shared" si="29"/>
        <v>0</v>
      </c>
      <c r="V42" s="171">
        <f t="shared" si="29"/>
        <v>0</v>
      </c>
      <c r="W42" s="171">
        <f t="shared" si="29"/>
        <v>0</v>
      </c>
      <c r="X42" s="171">
        <f t="shared" si="29"/>
        <v>0</v>
      </c>
      <c r="Y42" s="171">
        <f t="shared" si="29"/>
        <v>0</v>
      </c>
      <c r="Z42" s="171">
        <f t="shared" si="29"/>
        <v>0</v>
      </c>
      <c r="AA42" s="171">
        <f t="shared" si="29"/>
        <v>0</v>
      </c>
      <c r="AB42" s="171">
        <f t="shared" si="29"/>
        <v>0</v>
      </c>
      <c r="AC42" s="171">
        <f t="shared" si="29"/>
        <v>0</v>
      </c>
      <c r="AD42" s="171">
        <f t="shared" si="29"/>
        <v>0</v>
      </c>
      <c r="AE42" s="171">
        <f t="shared" si="29"/>
        <v>0</v>
      </c>
      <c r="AF42" s="171">
        <f t="shared" si="29"/>
        <v>0</v>
      </c>
      <c r="AG42" s="171">
        <f t="shared" si="29"/>
        <v>0</v>
      </c>
      <c r="AH42" s="171">
        <f t="shared" si="29"/>
        <v>0</v>
      </c>
      <c r="AI42" s="171">
        <f t="shared" si="29"/>
        <v>0</v>
      </c>
      <c r="AJ42" s="171">
        <f t="shared" si="29"/>
        <v>0</v>
      </c>
      <c r="AK42" s="171">
        <f t="shared" si="29"/>
        <v>0</v>
      </c>
    </row>
    <row r="43" spans="1:37" ht="13.5" customHeight="1">
      <c r="A43" s="154"/>
      <c r="B43" s="154"/>
      <c r="C43" s="154" t="s">
        <v>297</v>
      </c>
      <c r="D43" s="158"/>
      <c r="E43" s="154"/>
      <c r="F43" s="154"/>
      <c r="G43" s="200"/>
      <c r="H43" s="171">
        <f t="shared" ref="H43:AK43" si="30">H35</f>
        <v>102221.84</v>
      </c>
      <c r="I43" s="171">
        <f t="shared" si="30"/>
        <v>76666.367117857139</v>
      </c>
      <c r="J43" s="171">
        <f t="shared" si="30"/>
        <v>76198.948462225264</v>
      </c>
      <c r="K43" s="171">
        <f t="shared" si="30"/>
        <v>75609.367278846141</v>
      </c>
      <c r="L43" s="171">
        <f t="shared" si="30"/>
        <v>75535.057185096142</v>
      </c>
      <c r="M43" s="171">
        <f t="shared" si="30"/>
        <v>75460.747091346144</v>
      </c>
      <c r="N43" s="171">
        <f t="shared" si="30"/>
        <v>75386.436997596145</v>
      </c>
      <c r="O43" s="171">
        <f t="shared" si="30"/>
        <v>75312.126903846147</v>
      </c>
      <c r="P43" s="171">
        <f t="shared" si="30"/>
        <v>75237.816810096134</v>
      </c>
      <c r="Q43" s="171">
        <f t="shared" si="30"/>
        <v>75163.50671634615</v>
      </c>
      <c r="R43" s="171">
        <f t="shared" si="30"/>
        <v>75089.196622596137</v>
      </c>
      <c r="S43" s="171">
        <f t="shared" si="30"/>
        <v>75014.886528846153</v>
      </c>
      <c r="T43" s="171">
        <f t="shared" si="30"/>
        <v>74940.57643509614</v>
      </c>
      <c r="U43" s="171">
        <f t="shared" si="30"/>
        <v>74866.266341346141</v>
      </c>
      <c r="V43" s="171">
        <f t="shared" si="30"/>
        <v>74791.956247596143</v>
      </c>
      <c r="W43" s="171">
        <f t="shared" si="30"/>
        <v>0</v>
      </c>
      <c r="X43" s="171">
        <f t="shared" si="30"/>
        <v>0</v>
      </c>
      <c r="Y43" s="171">
        <f t="shared" si="30"/>
        <v>0</v>
      </c>
      <c r="Z43" s="171">
        <f t="shared" si="30"/>
        <v>0</v>
      </c>
      <c r="AA43" s="171">
        <f t="shared" si="30"/>
        <v>0</v>
      </c>
      <c r="AB43" s="171">
        <f t="shared" si="30"/>
        <v>0</v>
      </c>
      <c r="AC43" s="171">
        <f t="shared" si="30"/>
        <v>0</v>
      </c>
      <c r="AD43" s="171">
        <f t="shared" si="30"/>
        <v>0</v>
      </c>
      <c r="AE43" s="171">
        <f t="shared" si="30"/>
        <v>0</v>
      </c>
      <c r="AF43" s="171">
        <f t="shared" si="30"/>
        <v>0</v>
      </c>
      <c r="AG43" s="171">
        <f t="shared" si="30"/>
        <v>0</v>
      </c>
      <c r="AH43" s="171">
        <f t="shared" si="30"/>
        <v>0</v>
      </c>
      <c r="AI43" s="171">
        <f t="shared" si="30"/>
        <v>0</v>
      </c>
      <c r="AJ43" s="171">
        <f t="shared" si="30"/>
        <v>0</v>
      </c>
      <c r="AK43" s="171">
        <f t="shared" si="30"/>
        <v>0</v>
      </c>
    </row>
    <row r="44" spans="1:37" ht="13.5" customHeight="1">
      <c r="A44" s="154"/>
      <c r="B44" s="154"/>
      <c r="C44" s="154" t="s">
        <v>298</v>
      </c>
      <c r="D44" s="158"/>
      <c r="E44" s="154"/>
      <c r="F44" s="154"/>
      <c r="G44" s="200"/>
      <c r="H44" s="171">
        <f t="shared" ref="H44:AK44" si="31">H11</f>
        <v>0</v>
      </c>
      <c r="I44" s="171">
        <f t="shared" si="31"/>
        <v>-5774.9558571428579</v>
      </c>
      <c r="J44" s="171">
        <f t="shared" si="31"/>
        <v>-6467.4279395604408</v>
      </c>
      <c r="K44" s="171">
        <f t="shared" si="31"/>
        <v>-7316.6861538461544</v>
      </c>
      <c r="L44" s="171">
        <f t="shared" si="31"/>
        <v>-7088.0397115384621</v>
      </c>
      <c r="M44" s="171">
        <f t="shared" si="31"/>
        <v>-6859.3932692307708</v>
      </c>
      <c r="N44" s="171">
        <f t="shared" si="31"/>
        <v>-6630.7468269230785</v>
      </c>
      <c r="O44" s="171">
        <f t="shared" si="31"/>
        <v>-6402.1003846153862</v>
      </c>
      <c r="P44" s="171">
        <f t="shared" si="31"/>
        <v>-6173.453942307694</v>
      </c>
      <c r="Q44" s="171">
        <f t="shared" si="31"/>
        <v>-5944.8075000000026</v>
      </c>
      <c r="R44" s="171">
        <f t="shared" si="31"/>
        <v>-5716.1610576923094</v>
      </c>
      <c r="S44" s="171">
        <f t="shared" si="31"/>
        <v>-5487.5146153846163</v>
      </c>
      <c r="T44" s="171">
        <f t="shared" si="31"/>
        <v>-5258.868173076924</v>
      </c>
      <c r="U44" s="171">
        <f t="shared" si="31"/>
        <v>-5030.2217307692317</v>
      </c>
      <c r="V44" s="171">
        <f t="shared" si="31"/>
        <v>-4801.5752884615395</v>
      </c>
      <c r="W44" s="171">
        <f t="shared" si="31"/>
        <v>0</v>
      </c>
      <c r="X44" s="171">
        <f t="shared" si="31"/>
        <v>0</v>
      </c>
      <c r="Y44" s="171">
        <f t="shared" si="31"/>
        <v>0</v>
      </c>
      <c r="Z44" s="171">
        <f t="shared" si="31"/>
        <v>0</v>
      </c>
      <c r="AA44" s="171">
        <f t="shared" si="31"/>
        <v>0</v>
      </c>
      <c r="AB44" s="171">
        <f t="shared" si="31"/>
        <v>0</v>
      </c>
      <c r="AC44" s="171">
        <f t="shared" si="31"/>
        <v>0</v>
      </c>
      <c r="AD44" s="171">
        <f t="shared" si="31"/>
        <v>0</v>
      </c>
      <c r="AE44" s="171">
        <f t="shared" si="31"/>
        <v>0</v>
      </c>
      <c r="AF44" s="171">
        <f t="shared" si="31"/>
        <v>0</v>
      </c>
      <c r="AG44" s="171">
        <f t="shared" si="31"/>
        <v>0</v>
      </c>
      <c r="AH44" s="171">
        <f t="shared" si="31"/>
        <v>0</v>
      </c>
      <c r="AI44" s="171">
        <f t="shared" si="31"/>
        <v>0</v>
      </c>
      <c r="AJ44" s="171">
        <f t="shared" si="31"/>
        <v>0</v>
      </c>
      <c r="AK44" s="171">
        <f t="shared" si="31"/>
        <v>0</v>
      </c>
    </row>
    <row r="45" spans="1:37" ht="13.5" customHeight="1">
      <c r="A45" s="154"/>
      <c r="B45" s="154"/>
      <c r="C45" s="154" t="s">
        <v>299</v>
      </c>
      <c r="D45" s="158"/>
      <c r="E45" s="154"/>
      <c r="F45" s="154"/>
      <c r="G45" s="200"/>
      <c r="H45" s="171"/>
      <c r="I45" s="171">
        <f t="shared" ref="I45:AK45" si="32">I6</f>
        <v>0</v>
      </c>
      <c r="J45" s="171">
        <f t="shared" si="32"/>
        <v>0</v>
      </c>
      <c r="K45" s="171">
        <f t="shared" si="32"/>
        <v>0</v>
      </c>
      <c r="L45" s="171">
        <f t="shared" si="32"/>
        <v>0</v>
      </c>
      <c r="M45" s="171">
        <f t="shared" si="32"/>
        <v>0</v>
      </c>
      <c r="N45" s="171">
        <f t="shared" si="32"/>
        <v>0</v>
      </c>
      <c r="O45" s="171">
        <f t="shared" si="32"/>
        <v>0</v>
      </c>
      <c r="P45" s="171">
        <f t="shared" si="32"/>
        <v>0</v>
      </c>
      <c r="Q45" s="171">
        <f t="shared" si="32"/>
        <v>0</v>
      </c>
      <c r="R45" s="171">
        <f t="shared" si="32"/>
        <v>0</v>
      </c>
      <c r="S45" s="171">
        <f t="shared" si="32"/>
        <v>0</v>
      </c>
      <c r="T45" s="171">
        <f t="shared" si="32"/>
        <v>0</v>
      </c>
      <c r="U45" s="171">
        <f t="shared" si="32"/>
        <v>0</v>
      </c>
      <c r="V45" s="171">
        <f t="shared" si="32"/>
        <v>0</v>
      </c>
      <c r="W45" s="171">
        <f t="shared" si="32"/>
        <v>0</v>
      </c>
      <c r="X45" s="171">
        <f t="shared" si="32"/>
        <v>0</v>
      </c>
      <c r="Y45" s="171">
        <f t="shared" si="32"/>
        <v>0</v>
      </c>
      <c r="Z45" s="171">
        <f t="shared" si="32"/>
        <v>0</v>
      </c>
      <c r="AA45" s="171">
        <f t="shared" si="32"/>
        <v>0</v>
      </c>
      <c r="AB45" s="171">
        <f t="shared" si="32"/>
        <v>0</v>
      </c>
      <c r="AC45" s="171">
        <f t="shared" si="32"/>
        <v>0</v>
      </c>
      <c r="AD45" s="171">
        <f t="shared" si="32"/>
        <v>0</v>
      </c>
      <c r="AE45" s="171">
        <f t="shared" si="32"/>
        <v>0</v>
      </c>
      <c r="AF45" s="171">
        <f t="shared" si="32"/>
        <v>0</v>
      </c>
      <c r="AG45" s="171">
        <f t="shared" si="32"/>
        <v>0</v>
      </c>
      <c r="AH45" s="171">
        <f t="shared" si="32"/>
        <v>0</v>
      </c>
      <c r="AI45" s="171">
        <f t="shared" si="32"/>
        <v>0</v>
      </c>
      <c r="AJ45" s="171">
        <f t="shared" si="32"/>
        <v>0</v>
      </c>
      <c r="AK45" s="171">
        <f t="shared" si="32"/>
        <v>0</v>
      </c>
    </row>
    <row r="46" spans="1:37" ht="13.5" customHeight="1">
      <c r="A46" s="154"/>
      <c r="B46" s="154"/>
      <c r="C46" s="154" t="s">
        <v>300</v>
      </c>
      <c r="D46" s="158"/>
      <c r="E46" s="154"/>
      <c r="F46" s="154"/>
      <c r="G46" s="200"/>
      <c r="H46" s="171">
        <f t="shared" ref="H46:AK46" si="33">H27</f>
        <v>20</v>
      </c>
      <c r="I46" s="171">
        <f t="shared" si="33"/>
        <v>-22138.440025</v>
      </c>
      <c r="J46" s="171">
        <f t="shared" si="33"/>
        <v>-22083.238241071431</v>
      </c>
      <c r="K46" s="171">
        <f t="shared" si="33"/>
        <v>-22019.543874999999</v>
      </c>
      <c r="L46" s="171">
        <f t="shared" si="33"/>
        <v>-22093.853968749998</v>
      </c>
      <c r="M46" s="171">
        <f t="shared" si="33"/>
        <v>-22168.1640625</v>
      </c>
      <c r="N46" s="171">
        <f t="shared" si="33"/>
        <v>-22242.474156249998</v>
      </c>
      <c r="O46" s="171">
        <f t="shared" si="33"/>
        <v>-22316.784250000001</v>
      </c>
      <c r="P46" s="171">
        <f t="shared" si="33"/>
        <v>-22391.094343750003</v>
      </c>
      <c r="Q46" s="171">
        <f t="shared" si="33"/>
        <v>-22465.404437499998</v>
      </c>
      <c r="R46" s="171">
        <f t="shared" si="33"/>
        <v>-22539.71453125</v>
      </c>
      <c r="S46" s="171">
        <f t="shared" si="33"/>
        <v>-22614.024624999998</v>
      </c>
      <c r="T46" s="171">
        <f t="shared" si="33"/>
        <v>-22688.33471875</v>
      </c>
      <c r="U46" s="171">
        <f t="shared" si="33"/>
        <v>-22762.644812500002</v>
      </c>
      <c r="V46" s="171">
        <f t="shared" si="33"/>
        <v>-22836.954906249997</v>
      </c>
      <c r="W46" s="171">
        <f t="shared" si="33"/>
        <v>0</v>
      </c>
      <c r="X46" s="171">
        <f t="shared" si="33"/>
        <v>0</v>
      </c>
      <c r="Y46" s="171">
        <f t="shared" si="33"/>
        <v>0</v>
      </c>
      <c r="Z46" s="171">
        <f t="shared" si="33"/>
        <v>0</v>
      </c>
      <c r="AA46" s="171">
        <f t="shared" si="33"/>
        <v>0</v>
      </c>
      <c r="AB46" s="171">
        <f t="shared" si="33"/>
        <v>0</v>
      </c>
      <c r="AC46" s="171">
        <f t="shared" si="33"/>
        <v>0</v>
      </c>
      <c r="AD46" s="171">
        <f t="shared" si="33"/>
        <v>0</v>
      </c>
      <c r="AE46" s="171">
        <f t="shared" si="33"/>
        <v>0</v>
      </c>
      <c r="AF46" s="171">
        <f t="shared" si="33"/>
        <v>0</v>
      </c>
      <c r="AG46" s="171">
        <f t="shared" si="33"/>
        <v>0</v>
      </c>
      <c r="AH46" s="171">
        <f t="shared" si="33"/>
        <v>0</v>
      </c>
      <c r="AI46" s="171">
        <f t="shared" si="33"/>
        <v>0</v>
      </c>
      <c r="AJ46" s="171">
        <f t="shared" si="33"/>
        <v>0</v>
      </c>
      <c r="AK46" s="171">
        <f t="shared" si="33"/>
        <v>0</v>
      </c>
    </row>
    <row r="47" spans="1:37" ht="13.5" customHeight="1">
      <c r="A47" s="154"/>
      <c r="B47" s="154"/>
      <c r="C47" s="154" t="s">
        <v>301</v>
      </c>
      <c r="D47" s="158"/>
      <c r="E47" s="154"/>
      <c r="F47" s="154"/>
      <c r="G47" s="200"/>
      <c r="H47" s="171">
        <f t="shared" ref="H47:AK47" si="34">H17</f>
        <v>-244829.16</v>
      </c>
      <c r="I47" s="171">
        <f t="shared" si="34"/>
        <v>-244829.16</v>
      </c>
      <c r="J47" s="171">
        <f t="shared" si="34"/>
        <v>-244829.16</v>
      </c>
      <c r="K47" s="171">
        <f t="shared" si="34"/>
        <v>-244829.16</v>
      </c>
      <c r="L47" s="171">
        <f t="shared" si="34"/>
        <v>-244829.16</v>
      </c>
      <c r="M47" s="171">
        <f t="shared" si="34"/>
        <v>-244829.16</v>
      </c>
      <c r="N47" s="171">
        <f t="shared" si="34"/>
        <v>-244829.16</v>
      </c>
      <c r="O47" s="171">
        <f t="shared" si="34"/>
        <v>-244829.16</v>
      </c>
      <c r="P47" s="171">
        <f t="shared" si="34"/>
        <v>-244829.16</v>
      </c>
      <c r="Q47" s="171">
        <f t="shared" si="34"/>
        <v>-244829.16</v>
      </c>
      <c r="R47" s="171">
        <f t="shared" si="34"/>
        <v>-244829.16</v>
      </c>
      <c r="S47" s="171">
        <f t="shared" si="34"/>
        <v>-244829.16</v>
      </c>
      <c r="T47" s="171">
        <f t="shared" si="34"/>
        <v>-244829.16</v>
      </c>
      <c r="U47" s="171">
        <f t="shared" si="34"/>
        <v>-244829.16</v>
      </c>
      <c r="V47" s="171">
        <f t="shared" si="34"/>
        <v>-244829.16</v>
      </c>
      <c r="W47" s="171">
        <f t="shared" si="34"/>
        <v>0</v>
      </c>
      <c r="X47" s="171">
        <f t="shared" si="34"/>
        <v>0</v>
      </c>
      <c r="Y47" s="171">
        <f t="shared" si="34"/>
        <v>0</v>
      </c>
      <c r="Z47" s="171">
        <f t="shared" si="34"/>
        <v>0</v>
      </c>
      <c r="AA47" s="171">
        <f t="shared" si="34"/>
        <v>0</v>
      </c>
      <c r="AB47" s="171">
        <f t="shared" si="34"/>
        <v>0</v>
      </c>
      <c r="AC47" s="171">
        <f t="shared" si="34"/>
        <v>0</v>
      </c>
      <c r="AD47" s="171">
        <f t="shared" si="34"/>
        <v>0</v>
      </c>
      <c r="AE47" s="171">
        <f t="shared" si="34"/>
        <v>0</v>
      </c>
      <c r="AF47" s="171">
        <f t="shared" si="34"/>
        <v>0</v>
      </c>
      <c r="AG47" s="171">
        <f t="shared" si="34"/>
        <v>0</v>
      </c>
      <c r="AH47" s="171">
        <f t="shared" si="34"/>
        <v>0</v>
      </c>
      <c r="AI47" s="171">
        <f t="shared" si="34"/>
        <v>0</v>
      </c>
      <c r="AJ47" s="171">
        <f t="shared" si="34"/>
        <v>0</v>
      </c>
      <c r="AK47" s="171">
        <f t="shared" si="34"/>
        <v>0</v>
      </c>
    </row>
    <row r="48" spans="1:37" ht="13.5" customHeight="1">
      <c r="A48" s="154"/>
      <c r="B48" s="154"/>
      <c r="C48" s="154" t="s">
        <v>245</v>
      </c>
      <c r="D48" s="158"/>
      <c r="E48" s="154"/>
      <c r="F48" s="154"/>
      <c r="G48" s="200"/>
      <c r="H48" s="201">
        <f t="shared" ref="H48:AK48" si="35">SUM(H42:H47)</f>
        <v>-618171.92000000004</v>
      </c>
      <c r="I48" s="201">
        <f t="shared" si="35"/>
        <v>-196076.18876428573</v>
      </c>
      <c r="J48" s="201">
        <f t="shared" si="35"/>
        <v>-197180.87771840661</v>
      </c>
      <c r="K48" s="201">
        <f t="shared" si="35"/>
        <v>-198556.02275</v>
      </c>
      <c r="L48" s="201">
        <f t="shared" si="35"/>
        <v>-198475.99649519235</v>
      </c>
      <c r="M48" s="201">
        <f t="shared" si="35"/>
        <v>-198395.97024038463</v>
      </c>
      <c r="N48" s="201">
        <f t="shared" si="35"/>
        <v>-198315.94398557692</v>
      </c>
      <c r="O48" s="201">
        <f t="shared" si="35"/>
        <v>-198235.91773076926</v>
      </c>
      <c r="P48" s="201">
        <f t="shared" si="35"/>
        <v>-198155.89147596157</v>
      </c>
      <c r="Q48" s="201">
        <f t="shared" si="35"/>
        <v>-198075.86522115386</v>
      </c>
      <c r="R48" s="201">
        <f t="shared" si="35"/>
        <v>-197995.83896634617</v>
      </c>
      <c r="S48" s="201">
        <f t="shared" si="35"/>
        <v>-197915.81271153846</v>
      </c>
      <c r="T48" s="201">
        <f t="shared" si="35"/>
        <v>-197835.7864567308</v>
      </c>
      <c r="U48" s="201">
        <f t="shared" si="35"/>
        <v>-197755.76020192308</v>
      </c>
      <c r="V48" s="201">
        <f t="shared" si="35"/>
        <v>-197675.7339471154</v>
      </c>
      <c r="W48" s="201">
        <f t="shared" si="35"/>
        <v>0</v>
      </c>
      <c r="X48" s="201">
        <f t="shared" si="35"/>
        <v>0</v>
      </c>
      <c r="Y48" s="201">
        <f t="shared" si="35"/>
        <v>0</v>
      </c>
      <c r="Z48" s="201">
        <f t="shared" si="35"/>
        <v>0</v>
      </c>
      <c r="AA48" s="201">
        <f t="shared" si="35"/>
        <v>0</v>
      </c>
      <c r="AB48" s="201">
        <f t="shared" si="35"/>
        <v>0</v>
      </c>
      <c r="AC48" s="201">
        <f t="shared" si="35"/>
        <v>0</v>
      </c>
      <c r="AD48" s="201">
        <f t="shared" si="35"/>
        <v>0</v>
      </c>
      <c r="AE48" s="201">
        <f t="shared" si="35"/>
        <v>0</v>
      </c>
      <c r="AF48" s="201">
        <f t="shared" si="35"/>
        <v>0</v>
      </c>
      <c r="AG48" s="201">
        <f t="shared" si="35"/>
        <v>0</v>
      </c>
      <c r="AH48" s="201">
        <f t="shared" si="35"/>
        <v>0</v>
      </c>
      <c r="AI48" s="201">
        <f t="shared" si="35"/>
        <v>0</v>
      </c>
      <c r="AJ48" s="201">
        <f t="shared" si="35"/>
        <v>0</v>
      </c>
      <c r="AK48" s="201">
        <f t="shared" si="35"/>
        <v>0</v>
      </c>
    </row>
    <row r="49" spans="1:37" ht="13.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row>
    <row r="50" spans="1:37" ht="13.5" customHeight="1">
      <c r="A50" s="154"/>
      <c r="B50" s="154"/>
      <c r="C50" s="154"/>
      <c r="D50" s="154"/>
      <c r="E50" s="154"/>
      <c r="F50" s="154"/>
      <c r="G50" s="154"/>
      <c r="H50" s="199"/>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row>
    <row r="51" spans="1:37" ht="13.5" customHeight="1">
      <c r="A51" s="154"/>
      <c r="B51" s="154"/>
      <c r="C51" s="154"/>
      <c r="D51" s="154"/>
      <c r="E51" s="154"/>
      <c r="F51" s="154"/>
      <c r="G51" s="171">
        <f t="shared" ref="G51:AJ51" si="36">-H13</f>
        <v>0</v>
      </c>
      <c r="H51" s="171">
        <f t="shared" si="36"/>
        <v>2377.9230000000002</v>
      </c>
      <c r="I51" s="171">
        <f t="shared" si="36"/>
        <v>2547.7746428571431</v>
      </c>
      <c r="J51" s="171">
        <f t="shared" si="36"/>
        <v>2743.7573076923081</v>
      </c>
      <c r="K51" s="171">
        <f t="shared" si="36"/>
        <v>2515.1108653846159</v>
      </c>
      <c r="L51" s="171">
        <f t="shared" si="36"/>
        <v>2286.4644230769236</v>
      </c>
      <c r="M51" s="171">
        <f t="shared" si="36"/>
        <v>2057.8179807692313</v>
      </c>
      <c r="N51" s="171">
        <f t="shared" si="36"/>
        <v>1829.1715384615391</v>
      </c>
      <c r="O51" s="171">
        <f t="shared" si="36"/>
        <v>1600.5250961538468</v>
      </c>
      <c r="P51" s="171">
        <f t="shared" si="36"/>
        <v>1371.8786538461545</v>
      </c>
      <c r="Q51" s="171">
        <f t="shared" si="36"/>
        <v>1143.232211538462</v>
      </c>
      <c r="R51" s="171">
        <f t="shared" si="36"/>
        <v>914.58576923076953</v>
      </c>
      <c r="S51" s="171">
        <f t="shared" si="36"/>
        <v>685.93932692307715</v>
      </c>
      <c r="T51" s="171">
        <f t="shared" si="36"/>
        <v>457.29288461538476</v>
      </c>
      <c r="U51" s="171">
        <f t="shared" si="36"/>
        <v>228.64644230769238</v>
      </c>
      <c r="V51" s="171">
        <f t="shared" si="36"/>
        <v>0</v>
      </c>
      <c r="W51" s="171">
        <f t="shared" si="36"/>
        <v>0</v>
      </c>
      <c r="X51" s="171">
        <f t="shared" si="36"/>
        <v>0</v>
      </c>
      <c r="Y51" s="171">
        <f t="shared" si="36"/>
        <v>0</v>
      </c>
      <c r="Z51" s="171">
        <f t="shared" si="36"/>
        <v>0</v>
      </c>
      <c r="AA51" s="171">
        <f t="shared" si="36"/>
        <v>0</v>
      </c>
      <c r="AB51" s="171">
        <f t="shared" si="36"/>
        <v>0</v>
      </c>
      <c r="AC51" s="171">
        <f t="shared" si="36"/>
        <v>0</v>
      </c>
      <c r="AD51" s="171">
        <f t="shared" si="36"/>
        <v>0</v>
      </c>
      <c r="AE51" s="171">
        <f t="shared" si="36"/>
        <v>0</v>
      </c>
      <c r="AF51" s="171">
        <f t="shared" si="36"/>
        <v>0</v>
      </c>
      <c r="AG51" s="171">
        <f t="shared" si="36"/>
        <v>0</v>
      </c>
      <c r="AH51" s="171">
        <f t="shared" si="36"/>
        <v>0</v>
      </c>
      <c r="AI51" s="171">
        <f t="shared" si="36"/>
        <v>0</v>
      </c>
      <c r="AJ51" s="171">
        <f t="shared" si="36"/>
        <v>0</v>
      </c>
      <c r="AK51" s="171" t="e">
        <f t="shared" ref="AK51:AK52" si="37">-#REF!</f>
        <v>#REF!</v>
      </c>
    </row>
    <row r="52" spans="1:37" ht="13.5" customHeight="1">
      <c r="A52" s="154"/>
      <c r="B52" s="154"/>
      <c r="C52" s="154"/>
      <c r="D52" s="154"/>
      <c r="E52" s="154"/>
      <c r="F52" s="154"/>
      <c r="G52" s="171">
        <f t="shared" ref="G52:AJ52" si="38">-H14</f>
        <v>0</v>
      </c>
      <c r="H52" s="171">
        <f t="shared" si="38"/>
        <v>3397.0328571428577</v>
      </c>
      <c r="I52" s="171">
        <f t="shared" si="38"/>
        <v>3919.6532967032972</v>
      </c>
      <c r="J52" s="171">
        <f t="shared" si="38"/>
        <v>4572.9288461538463</v>
      </c>
      <c r="K52" s="171">
        <f t="shared" si="38"/>
        <v>4572.9288461538463</v>
      </c>
      <c r="L52" s="171">
        <f t="shared" si="38"/>
        <v>4572.9288461538472</v>
      </c>
      <c r="M52" s="171">
        <f t="shared" si="38"/>
        <v>4572.9288461538472</v>
      </c>
      <c r="N52" s="171">
        <f t="shared" si="38"/>
        <v>4572.9288461538472</v>
      </c>
      <c r="O52" s="171">
        <f t="shared" si="38"/>
        <v>4572.9288461538472</v>
      </c>
      <c r="P52" s="171">
        <f t="shared" si="38"/>
        <v>4572.9288461538481</v>
      </c>
      <c r="Q52" s="171">
        <f t="shared" si="38"/>
        <v>4572.9288461538472</v>
      </c>
      <c r="R52" s="171">
        <f t="shared" si="38"/>
        <v>4572.9288461538472</v>
      </c>
      <c r="S52" s="171">
        <f t="shared" si="38"/>
        <v>4572.9288461538472</v>
      </c>
      <c r="T52" s="171">
        <f t="shared" si="38"/>
        <v>4572.9288461538472</v>
      </c>
      <c r="U52" s="171">
        <f t="shared" si="38"/>
        <v>4572.9288461538472</v>
      </c>
      <c r="V52" s="171">
        <f t="shared" si="38"/>
        <v>0</v>
      </c>
      <c r="W52" s="171">
        <f t="shared" si="38"/>
        <v>0</v>
      </c>
      <c r="X52" s="171">
        <f t="shared" si="38"/>
        <v>0</v>
      </c>
      <c r="Y52" s="171">
        <f t="shared" si="38"/>
        <v>0</v>
      </c>
      <c r="Z52" s="171">
        <f t="shared" si="38"/>
        <v>0</v>
      </c>
      <c r="AA52" s="171">
        <f t="shared" si="38"/>
        <v>0</v>
      </c>
      <c r="AB52" s="171">
        <f t="shared" si="38"/>
        <v>0</v>
      </c>
      <c r="AC52" s="171">
        <f t="shared" si="38"/>
        <v>0</v>
      </c>
      <c r="AD52" s="171">
        <f t="shared" si="38"/>
        <v>0</v>
      </c>
      <c r="AE52" s="171">
        <f t="shared" si="38"/>
        <v>0</v>
      </c>
      <c r="AF52" s="171">
        <f t="shared" si="38"/>
        <v>0</v>
      </c>
      <c r="AG52" s="171">
        <f t="shared" si="38"/>
        <v>0</v>
      </c>
      <c r="AH52" s="171">
        <f t="shared" si="38"/>
        <v>0</v>
      </c>
      <c r="AI52" s="171">
        <f t="shared" si="38"/>
        <v>0</v>
      </c>
      <c r="AJ52" s="171">
        <f t="shared" si="38"/>
        <v>0</v>
      </c>
      <c r="AK52" s="171" t="e">
        <f t="shared" si="37"/>
        <v>#REF!</v>
      </c>
    </row>
    <row r="53" spans="1:37" ht="13.5" customHeight="1">
      <c r="A53" s="154"/>
      <c r="B53" s="154"/>
      <c r="C53" s="154"/>
      <c r="D53" s="154"/>
      <c r="E53" s="154"/>
      <c r="F53" s="154"/>
      <c r="G53" s="169">
        <f t="shared" ref="G53:AJ53" si="39">H30</f>
        <v>102221.84</v>
      </c>
      <c r="H53" s="169">
        <f t="shared" si="39"/>
        <v>80063.399974999993</v>
      </c>
      <c r="I53" s="169">
        <f t="shared" si="39"/>
        <v>80118.601758928562</v>
      </c>
      <c r="J53" s="169">
        <f t="shared" si="39"/>
        <v>80182.296124999993</v>
      </c>
      <c r="K53" s="169">
        <f t="shared" si="39"/>
        <v>80107.986031249995</v>
      </c>
      <c r="L53" s="169">
        <f t="shared" si="39"/>
        <v>80033.675937499997</v>
      </c>
      <c r="M53" s="169">
        <f t="shared" si="39"/>
        <v>79959.365843749998</v>
      </c>
      <c r="N53" s="169">
        <f t="shared" si="39"/>
        <v>79885.05575</v>
      </c>
      <c r="O53" s="169">
        <f t="shared" si="39"/>
        <v>79810.745656249986</v>
      </c>
      <c r="P53" s="169">
        <f t="shared" si="39"/>
        <v>79736.435562500003</v>
      </c>
      <c r="Q53" s="169">
        <f t="shared" si="39"/>
        <v>79662.12546874999</v>
      </c>
      <c r="R53" s="169">
        <f t="shared" si="39"/>
        <v>79587.815375000006</v>
      </c>
      <c r="S53" s="169">
        <f t="shared" si="39"/>
        <v>79513.505281249993</v>
      </c>
      <c r="T53" s="169">
        <f t="shared" si="39"/>
        <v>79439.195187499994</v>
      </c>
      <c r="U53" s="169">
        <f t="shared" si="39"/>
        <v>79364.885093749996</v>
      </c>
      <c r="V53" s="169">
        <f t="shared" si="39"/>
        <v>0</v>
      </c>
      <c r="W53" s="169">
        <f t="shared" si="39"/>
        <v>0</v>
      </c>
      <c r="X53" s="169">
        <f t="shared" si="39"/>
        <v>0</v>
      </c>
      <c r="Y53" s="169">
        <f t="shared" si="39"/>
        <v>0</v>
      </c>
      <c r="Z53" s="169">
        <f t="shared" si="39"/>
        <v>0</v>
      </c>
      <c r="AA53" s="169">
        <f t="shared" si="39"/>
        <v>0</v>
      </c>
      <c r="AB53" s="169">
        <f t="shared" si="39"/>
        <v>0</v>
      </c>
      <c r="AC53" s="169">
        <f t="shared" si="39"/>
        <v>0</v>
      </c>
      <c r="AD53" s="169">
        <f t="shared" si="39"/>
        <v>0</v>
      </c>
      <c r="AE53" s="169">
        <f t="shared" si="39"/>
        <v>0</v>
      </c>
      <c r="AF53" s="169">
        <f t="shared" si="39"/>
        <v>0</v>
      </c>
      <c r="AG53" s="169">
        <f t="shared" si="39"/>
        <v>0</v>
      </c>
      <c r="AH53" s="169">
        <f t="shared" si="39"/>
        <v>0</v>
      </c>
      <c r="AI53" s="169">
        <f t="shared" si="39"/>
        <v>0</v>
      </c>
      <c r="AJ53" s="169">
        <f t="shared" si="39"/>
        <v>0</v>
      </c>
      <c r="AK53" s="169" t="e">
        <f t="shared" ref="AK53:AK54" si="40">#REF!</f>
        <v>#REF!</v>
      </c>
    </row>
    <row r="54" spans="1:37" ht="13.5" customHeight="1">
      <c r="A54" s="154"/>
      <c r="B54" s="154"/>
      <c r="C54" s="154"/>
      <c r="D54" s="154"/>
      <c r="E54" s="154"/>
      <c r="F54" s="154"/>
      <c r="G54" s="202">
        <f t="shared" ref="G54:AJ54" si="41">H32</f>
        <v>0</v>
      </c>
      <c r="H54" s="202">
        <f t="shared" si="41"/>
        <v>13.863898176117162</v>
      </c>
      <c r="I54" s="202">
        <f t="shared" si="41"/>
        <v>12.388016149179364</v>
      </c>
      <c r="J54" s="202">
        <f t="shared" si="41"/>
        <v>10.958826774721047</v>
      </c>
      <c r="K54" s="202">
        <f t="shared" si="41"/>
        <v>11.301853444873339</v>
      </c>
      <c r="L54" s="202">
        <f t="shared" si="41"/>
        <v>11.667748559702449</v>
      </c>
      <c r="M54" s="202">
        <f t="shared" si="41"/>
        <v>12.058877820381843</v>
      </c>
      <c r="N54" s="202">
        <f t="shared" si="41"/>
        <v>12.47794488539548</v>
      </c>
      <c r="O54" s="202">
        <f t="shared" si="41"/>
        <v>12.928053955224941</v>
      </c>
      <c r="P54" s="202">
        <f t="shared" si="41"/>
        <v>13.41278679965667</v>
      </c>
      <c r="Q54" s="202">
        <f t="shared" si="41"/>
        <v>13.936298271642936</v>
      </c>
      <c r="R54" s="202">
        <f t="shared" si="41"/>
        <v>14.503435699628064</v>
      </c>
      <c r="S54" s="202">
        <f t="shared" si="41"/>
        <v>15.119889425698846</v>
      </c>
      <c r="T54" s="202">
        <f t="shared" si="41"/>
        <v>15.792384399594248</v>
      </c>
      <c r="U54" s="202">
        <f t="shared" si="41"/>
        <v>16.52892651386064</v>
      </c>
      <c r="V54" s="202">
        <f t="shared" si="41"/>
        <v>0</v>
      </c>
      <c r="W54" s="202">
        <f t="shared" si="41"/>
        <v>0</v>
      </c>
      <c r="X54" s="202">
        <f t="shared" si="41"/>
        <v>0</v>
      </c>
      <c r="Y54" s="202">
        <f t="shared" si="41"/>
        <v>0</v>
      </c>
      <c r="Z54" s="202">
        <f t="shared" si="41"/>
        <v>0</v>
      </c>
      <c r="AA54" s="202">
        <f t="shared" si="41"/>
        <v>0</v>
      </c>
      <c r="AB54" s="202">
        <f t="shared" si="41"/>
        <v>0</v>
      </c>
      <c r="AC54" s="202">
        <f t="shared" si="41"/>
        <v>0</v>
      </c>
      <c r="AD54" s="202">
        <f t="shared" si="41"/>
        <v>0</v>
      </c>
      <c r="AE54" s="202">
        <f t="shared" si="41"/>
        <v>0</v>
      </c>
      <c r="AF54" s="202">
        <f t="shared" si="41"/>
        <v>0</v>
      </c>
      <c r="AG54" s="202">
        <f t="shared" si="41"/>
        <v>0</v>
      </c>
      <c r="AH54" s="202">
        <f t="shared" si="41"/>
        <v>0</v>
      </c>
      <c r="AI54" s="202">
        <f t="shared" si="41"/>
        <v>0</v>
      </c>
      <c r="AJ54" s="202">
        <f t="shared" si="41"/>
        <v>0</v>
      </c>
      <c r="AK54" s="202" t="e">
        <f t="shared" si="40"/>
        <v>#REF!</v>
      </c>
    </row>
    <row r="55" spans="1:37" ht="13.5" customHeight="1">
      <c r="A55" s="154"/>
      <c r="B55" s="154"/>
      <c r="C55" s="154"/>
      <c r="D55" s="154"/>
      <c r="E55" s="154"/>
      <c r="F55" s="154"/>
      <c r="G55" s="154"/>
      <c r="H55" s="154"/>
      <c r="I55" s="154"/>
      <c r="J55" s="154"/>
      <c r="K55" s="154"/>
      <c r="L55" s="154"/>
      <c r="M55" s="154"/>
      <c r="N55" s="154"/>
      <c r="O55" s="154"/>
      <c r="P55" s="154"/>
      <c r="Q55" s="184"/>
      <c r="R55" s="184"/>
      <c r="S55" s="184"/>
      <c r="T55" s="184"/>
      <c r="U55" s="154"/>
      <c r="V55" s="154"/>
      <c r="W55" s="154"/>
      <c r="X55" s="154"/>
      <c r="Y55" s="154"/>
      <c r="Z55" s="154"/>
      <c r="AA55" s="154"/>
      <c r="AB55" s="154"/>
      <c r="AC55" s="154"/>
      <c r="AD55" s="154"/>
      <c r="AE55" s="154"/>
      <c r="AF55" s="154"/>
      <c r="AG55" s="154"/>
      <c r="AH55" s="154"/>
      <c r="AI55" s="154"/>
      <c r="AJ55" s="154"/>
      <c r="AK55" s="154"/>
    </row>
    <row r="56" spans="1:37" ht="13.5" customHeight="1">
      <c r="A56" s="154"/>
      <c r="B56" s="154"/>
      <c r="C56" s="154"/>
      <c r="D56" s="154"/>
      <c r="E56" s="154"/>
      <c r="F56" s="154"/>
      <c r="G56" s="154"/>
      <c r="H56" s="154"/>
      <c r="I56" s="154"/>
      <c r="J56" s="154"/>
      <c r="K56" s="154"/>
      <c r="L56" s="154"/>
      <c r="M56" s="154"/>
      <c r="N56" s="154"/>
      <c r="O56" s="154"/>
      <c r="P56" s="154"/>
      <c r="Q56" s="154"/>
      <c r="R56" s="154"/>
      <c r="S56" s="184"/>
      <c r="T56" s="154"/>
      <c r="U56" s="154"/>
      <c r="V56" s="154"/>
      <c r="W56" s="154"/>
      <c r="X56" s="154"/>
      <c r="Y56" s="154"/>
      <c r="Z56" s="154"/>
      <c r="AA56" s="154"/>
      <c r="AB56" s="154"/>
      <c r="AC56" s="154"/>
      <c r="AD56" s="154"/>
      <c r="AE56" s="154"/>
      <c r="AF56" s="154"/>
      <c r="AG56" s="154"/>
      <c r="AH56" s="154"/>
      <c r="AI56" s="154"/>
      <c r="AJ56" s="154"/>
      <c r="AK56" s="154"/>
    </row>
    <row r="57" spans="1:37" ht="13.5" customHeight="1">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row>
    <row r="58" spans="1:37" ht="13.5" customHeight="1">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row>
    <row r="59" spans="1:37" ht="13.5" customHeight="1">
      <c r="A59" s="154"/>
      <c r="B59" s="154"/>
      <c r="C59" s="154"/>
      <c r="D59" s="154"/>
      <c r="E59" s="154"/>
      <c r="F59" s="154"/>
      <c r="H59" s="171">
        <f>H42</f>
        <v>-475584.60000000003</v>
      </c>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row>
    <row r="60" spans="1:37" ht="13.5" customHeight="1">
      <c r="A60" s="154"/>
      <c r="B60" s="154"/>
      <c r="C60" s="154"/>
      <c r="D60" s="154"/>
      <c r="E60" s="154"/>
      <c r="F60" s="154"/>
      <c r="G60" s="154"/>
      <c r="H60" s="169">
        <f t="shared" ref="H60:AK60" si="42">H16</f>
        <v>366100</v>
      </c>
      <c r="I60" s="169">
        <f t="shared" si="42"/>
        <v>366100</v>
      </c>
      <c r="J60" s="169">
        <f t="shared" si="42"/>
        <v>366100</v>
      </c>
      <c r="K60" s="169">
        <f t="shared" si="42"/>
        <v>366100</v>
      </c>
      <c r="L60" s="169">
        <f t="shared" si="42"/>
        <v>366100</v>
      </c>
      <c r="M60" s="169">
        <f t="shared" si="42"/>
        <v>366100</v>
      </c>
      <c r="N60" s="169">
        <f t="shared" si="42"/>
        <v>366100</v>
      </c>
      <c r="O60" s="169">
        <f t="shared" si="42"/>
        <v>366100</v>
      </c>
      <c r="P60" s="169">
        <f t="shared" si="42"/>
        <v>366100</v>
      </c>
      <c r="Q60" s="169">
        <f t="shared" si="42"/>
        <v>366100</v>
      </c>
      <c r="R60" s="169">
        <f t="shared" si="42"/>
        <v>366100</v>
      </c>
      <c r="S60" s="169">
        <f t="shared" si="42"/>
        <v>366100</v>
      </c>
      <c r="T60" s="169">
        <f t="shared" si="42"/>
        <v>366100</v>
      </c>
      <c r="U60" s="169">
        <f t="shared" si="42"/>
        <v>366100</v>
      </c>
      <c r="V60" s="169">
        <f t="shared" si="42"/>
        <v>366100</v>
      </c>
      <c r="W60" s="169">
        <f t="shared" si="42"/>
        <v>0</v>
      </c>
      <c r="X60" s="169">
        <f t="shared" si="42"/>
        <v>0</v>
      </c>
      <c r="Y60" s="169">
        <f t="shared" si="42"/>
        <v>0</v>
      </c>
      <c r="Z60" s="169">
        <f t="shared" si="42"/>
        <v>0</v>
      </c>
      <c r="AA60" s="169">
        <f t="shared" si="42"/>
        <v>0</v>
      </c>
      <c r="AB60" s="169">
        <f t="shared" si="42"/>
        <v>0</v>
      </c>
      <c r="AC60" s="169">
        <f t="shared" si="42"/>
        <v>0</v>
      </c>
      <c r="AD60" s="169">
        <f t="shared" si="42"/>
        <v>0</v>
      </c>
      <c r="AE60" s="169">
        <f t="shared" si="42"/>
        <v>0</v>
      </c>
      <c r="AF60" s="169">
        <f t="shared" si="42"/>
        <v>0</v>
      </c>
      <c r="AG60" s="169">
        <f t="shared" si="42"/>
        <v>0</v>
      </c>
      <c r="AH60" s="169">
        <f t="shared" si="42"/>
        <v>0</v>
      </c>
      <c r="AI60" s="169">
        <f t="shared" si="42"/>
        <v>0</v>
      </c>
      <c r="AJ60" s="169">
        <f t="shared" si="42"/>
        <v>0</v>
      </c>
      <c r="AK60" s="169">
        <f t="shared" si="42"/>
        <v>0</v>
      </c>
    </row>
    <row r="61" spans="1:37" ht="13.5" customHeight="1">
      <c r="A61" s="154"/>
      <c r="B61" s="154"/>
      <c r="C61" s="154"/>
      <c r="D61" s="154"/>
      <c r="E61" s="154"/>
      <c r="F61" s="154"/>
      <c r="G61" s="154"/>
      <c r="H61" s="169">
        <f t="shared" ref="H61:AK61" si="43">H17+H22+H24+H25+H27</f>
        <v>-295583.80000000005</v>
      </c>
      <c r="I61" s="169">
        <f t="shared" si="43"/>
        <v>-320120.16302500007</v>
      </c>
      <c r="J61" s="169">
        <f t="shared" si="43"/>
        <v>-320234.81288392859</v>
      </c>
      <c r="K61" s="169">
        <f t="shared" si="43"/>
        <v>-320367.10118269233</v>
      </c>
      <c r="L61" s="169">
        <f t="shared" si="43"/>
        <v>-320212.76483413466</v>
      </c>
      <c r="M61" s="169">
        <f t="shared" si="43"/>
        <v>-320058.42848557699</v>
      </c>
      <c r="N61" s="169">
        <f t="shared" si="43"/>
        <v>-319904.09213701927</v>
      </c>
      <c r="O61" s="169">
        <f t="shared" si="43"/>
        <v>-319749.7557884616</v>
      </c>
      <c r="P61" s="169">
        <f t="shared" si="43"/>
        <v>-319595.41943990387</v>
      </c>
      <c r="Q61" s="169">
        <f t="shared" si="43"/>
        <v>-319441.0830913462</v>
      </c>
      <c r="R61" s="169">
        <f t="shared" si="43"/>
        <v>-319286.74674278853</v>
      </c>
      <c r="S61" s="169">
        <f t="shared" si="43"/>
        <v>-319132.41039423086</v>
      </c>
      <c r="T61" s="169">
        <f t="shared" si="43"/>
        <v>-318978.07404567307</v>
      </c>
      <c r="U61" s="169">
        <f t="shared" si="43"/>
        <v>-318823.7376971154</v>
      </c>
      <c r="V61" s="169">
        <f t="shared" si="43"/>
        <v>-318669.40134855773</v>
      </c>
      <c r="W61" s="169">
        <f t="shared" si="43"/>
        <v>0</v>
      </c>
      <c r="X61" s="169">
        <f t="shared" si="43"/>
        <v>0</v>
      </c>
      <c r="Y61" s="169">
        <f t="shared" si="43"/>
        <v>0</v>
      </c>
      <c r="Z61" s="169">
        <f t="shared" si="43"/>
        <v>0</v>
      </c>
      <c r="AA61" s="169">
        <f t="shared" si="43"/>
        <v>0</v>
      </c>
      <c r="AB61" s="169">
        <f t="shared" si="43"/>
        <v>0</v>
      </c>
      <c r="AC61" s="169">
        <f t="shared" si="43"/>
        <v>0</v>
      </c>
      <c r="AD61" s="169">
        <f t="shared" si="43"/>
        <v>0</v>
      </c>
      <c r="AE61" s="169">
        <f t="shared" si="43"/>
        <v>0</v>
      </c>
      <c r="AF61" s="169">
        <f t="shared" si="43"/>
        <v>0</v>
      </c>
      <c r="AG61" s="169">
        <f t="shared" si="43"/>
        <v>0</v>
      </c>
      <c r="AH61" s="169">
        <f t="shared" si="43"/>
        <v>0</v>
      </c>
      <c r="AI61" s="169">
        <f t="shared" si="43"/>
        <v>0</v>
      </c>
      <c r="AJ61" s="169">
        <f t="shared" si="43"/>
        <v>0</v>
      </c>
      <c r="AK61" s="169">
        <f t="shared" si="43"/>
        <v>0</v>
      </c>
    </row>
    <row r="62" spans="1:37" ht="13.5" customHeight="1">
      <c r="A62" s="154"/>
      <c r="B62" s="154"/>
      <c r="C62" s="154"/>
      <c r="D62" s="154"/>
      <c r="E62" s="154"/>
      <c r="F62" s="154"/>
      <c r="G62" s="154"/>
      <c r="H62" s="171">
        <f>H59+H60+H61</f>
        <v>-405068.40000000008</v>
      </c>
      <c r="I62" s="169">
        <f t="shared" ref="I62:AK62" si="44">I60+I61</f>
        <v>45979.836974999926</v>
      </c>
      <c r="J62" s="169">
        <f t="shared" si="44"/>
        <v>45865.187116071407</v>
      </c>
      <c r="K62" s="169">
        <f t="shared" si="44"/>
        <v>45732.898817307665</v>
      </c>
      <c r="L62" s="169">
        <f t="shared" si="44"/>
        <v>45887.235165865335</v>
      </c>
      <c r="M62" s="169">
        <f t="shared" si="44"/>
        <v>46041.571514423005</v>
      </c>
      <c r="N62" s="169">
        <f t="shared" si="44"/>
        <v>46195.907862980734</v>
      </c>
      <c r="O62" s="169">
        <f t="shared" si="44"/>
        <v>46350.244211538404</v>
      </c>
      <c r="P62" s="169">
        <f t="shared" si="44"/>
        <v>46504.580560096132</v>
      </c>
      <c r="Q62" s="169">
        <f t="shared" si="44"/>
        <v>46658.916908653802</v>
      </c>
      <c r="R62" s="169">
        <f t="shared" si="44"/>
        <v>46813.253257211472</v>
      </c>
      <c r="S62" s="169">
        <f t="shared" si="44"/>
        <v>46967.589605769143</v>
      </c>
      <c r="T62" s="169">
        <f t="shared" si="44"/>
        <v>47121.925954326929</v>
      </c>
      <c r="U62" s="169">
        <f t="shared" si="44"/>
        <v>47276.262302884599</v>
      </c>
      <c r="V62" s="169">
        <f t="shared" si="44"/>
        <v>47430.598651442269</v>
      </c>
      <c r="W62" s="169">
        <f t="shared" si="44"/>
        <v>0</v>
      </c>
      <c r="X62" s="169">
        <f t="shared" si="44"/>
        <v>0</v>
      </c>
      <c r="Y62" s="169">
        <f t="shared" si="44"/>
        <v>0</v>
      </c>
      <c r="Z62" s="169">
        <f t="shared" si="44"/>
        <v>0</v>
      </c>
      <c r="AA62" s="169">
        <f t="shared" si="44"/>
        <v>0</v>
      </c>
      <c r="AB62" s="169">
        <f t="shared" si="44"/>
        <v>0</v>
      </c>
      <c r="AC62" s="169">
        <f t="shared" si="44"/>
        <v>0</v>
      </c>
      <c r="AD62" s="169">
        <f t="shared" si="44"/>
        <v>0</v>
      </c>
      <c r="AE62" s="169">
        <f t="shared" si="44"/>
        <v>0</v>
      </c>
      <c r="AF62" s="169">
        <f t="shared" si="44"/>
        <v>0</v>
      </c>
      <c r="AG62" s="169">
        <f t="shared" si="44"/>
        <v>0</v>
      </c>
      <c r="AH62" s="169">
        <f t="shared" si="44"/>
        <v>0</v>
      </c>
      <c r="AI62" s="169">
        <f t="shared" si="44"/>
        <v>0</v>
      </c>
      <c r="AJ62" s="169">
        <f t="shared" si="44"/>
        <v>0</v>
      </c>
      <c r="AK62" s="169">
        <f t="shared" si="44"/>
        <v>0</v>
      </c>
    </row>
    <row r="63" spans="1:37" ht="13.5" customHeight="1">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row>
    <row r="64" spans="1:37" ht="13.5" customHeight="1">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row>
    <row r="65" spans="1:37" ht="13.5" customHeight="1">
      <c r="A65" s="154"/>
      <c r="B65" s="154"/>
      <c r="C65" s="154"/>
      <c r="D65" s="154"/>
      <c r="E65" s="154"/>
      <c r="F65" s="154"/>
      <c r="G65" s="154"/>
      <c r="H65" s="184">
        <f>IFERROR(IRR(H62),0)</f>
        <v>0</v>
      </c>
      <c r="I65" s="184">
        <f>IFERROR(IRR(H62:I62),0)</f>
        <v>-0.88648870912912503</v>
      </c>
      <c r="J65" s="184">
        <f>IFERROR(IRR(H62:J62),0)</f>
        <v>-0.6019974411862028</v>
      </c>
      <c r="K65" s="184">
        <f>IFERROR(IRR(H62:K62),0)</f>
        <v>-0.3932274221362102</v>
      </c>
      <c r="L65" s="184">
        <f>IFERROR(IRR(H62:L62),0)</f>
        <v>-0.25574301454094872</v>
      </c>
      <c r="M65" s="184">
        <f>IFERROR(IRR(H62:M62),0)</f>
        <v>-0.16367815564138555</v>
      </c>
      <c r="N65" s="184">
        <f>IFERROR(IRR(H62:N62),0)</f>
        <v>-9.9874786437180174E-2</v>
      </c>
      <c r="O65" s="184">
        <f>IFERROR(IRR(H62:O62),0)</f>
        <v>-5.4170682788849178E-2</v>
      </c>
      <c r="P65" s="184">
        <f>IFERROR(IRR(H62:P62),0)</f>
        <v>-2.0480416924507083E-2</v>
      </c>
      <c r="Q65" s="184">
        <f>IFERROR(IRR(H62:Q62),0)</f>
        <v>4.9626820461747823E-3</v>
      </c>
      <c r="R65" s="184">
        <f>IFERROR(IRR(H62:R62),0)</f>
        <v>2.4574085432854664E-2</v>
      </c>
      <c r="S65" s="184">
        <f>IFERROR(IRR(H62:S62),0)</f>
        <v>3.9954596775024109E-2</v>
      </c>
      <c r="T65" s="184">
        <f t="shared" ref="T65:AK65" si="45">IFERROR(IRR($H62:T62),0)</f>
        <v>5.2196739960870486E-2</v>
      </c>
      <c r="U65" s="184">
        <f t="shared" si="45"/>
        <v>6.2065710438678368E-2</v>
      </c>
      <c r="V65" s="184">
        <f t="shared" si="45"/>
        <v>7.0109801834880248E-2</v>
      </c>
      <c r="W65" s="184">
        <f t="shared" si="45"/>
        <v>7.0109801834880248E-2</v>
      </c>
      <c r="X65" s="184">
        <f t="shared" si="45"/>
        <v>7.0109801834880248E-2</v>
      </c>
      <c r="Y65" s="184">
        <f t="shared" si="45"/>
        <v>7.0109801834880248E-2</v>
      </c>
      <c r="Z65" s="184">
        <f t="shared" si="45"/>
        <v>7.0109801834880248E-2</v>
      </c>
      <c r="AA65" s="184">
        <f t="shared" si="45"/>
        <v>7.0109801834880248E-2</v>
      </c>
      <c r="AB65" s="184">
        <f t="shared" si="45"/>
        <v>7.0109801834880248E-2</v>
      </c>
      <c r="AC65" s="184">
        <f t="shared" si="45"/>
        <v>7.0109801834880248E-2</v>
      </c>
      <c r="AD65" s="184">
        <f t="shared" si="45"/>
        <v>7.0109801834880248E-2</v>
      </c>
      <c r="AE65" s="184">
        <f t="shared" si="45"/>
        <v>7.0109801834880248E-2</v>
      </c>
      <c r="AF65" s="184">
        <f t="shared" si="45"/>
        <v>7.0109801834880248E-2</v>
      </c>
      <c r="AG65" s="184">
        <f t="shared" si="45"/>
        <v>7.0109801834880248E-2</v>
      </c>
      <c r="AH65" s="184">
        <f t="shared" si="45"/>
        <v>7.0109801834880248E-2</v>
      </c>
      <c r="AI65" s="184">
        <f t="shared" si="45"/>
        <v>7.0109801834880248E-2</v>
      </c>
      <c r="AJ65" s="184">
        <f t="shared" si="45"/>
        <v>7.0109801834880248E-2</v>
      </c>
      <c r="AK65" s="184">
        <f t="shared" si="45"/>
        <v>7.0109801834880248E-2</v>
      </c>
    </row>
    <row r="66" spans="1:37" ht="13.5" customHeight="1">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row>
    <row r="67" spans="1:37" ht="13.5" customHeight="1">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row>
    <row r="68" spans="1:37" ht="13.5" customHeight="1">
      <c r="A68" s="154"/>
      <c r="B68" s="154"/>
      <c r="C68" s="154"/>
      <c r="D68" s="154"/>
      <c r="E68" s="154"/>
      <c r="F68" s="154"/>
      <c r="G68" s="154"/>
      <c r="H68" s="199"/>
      <c r="I68" s="154"/>
      <c r="J68" s="154"/>
      <c r="K68" s="154"/>
      <c r="L68" s="154"/>
      <c r="M68" s="154"/>
      <c r="N68" s="154"/>
      <c r="O68" s="199"/>
      <c r="P68" s="154"/>
      <c r="Q68" s="154"/>
      <c r="R68" s="154"/>
      <c r="S68" s="154"/>
      <c r="T68" s="154"/>
      <c r="U68" s="154"/>
      <c r="V68" s="154"/>
      <c r="W68" s="154"/>
      <c r="X68" s="154"/>
      <c r="Y68" s="154"/>
      <c r="Z68" s="154"/>
      <c r="AA68" s="154"/>
      <c r="AB68" s="154"/>
      <c r="AC68" s="154"/>
      <c r="AD68" s="154"/>
      <c r="AE68" s="154"/>
      <c r="AF68" s="154"/>
      <c r="AG68" s="154"/>
      <c r="AH68" s="154"/>
      <c r="AI68" s="154"/>
      <c r="AJ68" s="154"/>
      <c r="AK68" s="154"/>
    </row>
    <row r="69" spans="1:37" ht="13.5" customHeight="1">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row>
    <row r="70" spans="1:37" ht="13.5" customHeight="1">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row>
    <row r="71" spans="1:37" ht="13.5" customHeight="1">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row>
    <row r="72" spans="1:37" ht="13.5" customHeight="1">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row>
    <row r="73" spans="1:37" ht="13.5" customHeight="1">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row>
    <row r="74" spans="1:37" ht="13.5" customHeight="1">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row>
    <row r="75" spans="1:37" ht="13.5" customHeight="1">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row>
    <row r="76" spans="1:37" ht="13.5" customHeight="1">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row>
    <row r="77" spans="1:37" ht="13.5" customHeight="1">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row>
    <row r="78" spans="1:37" ht="13.5" customHeight="1">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row>
    <row r="79" spans="1:37" ht="13.5" customHeight="1">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row>
    <row r="80" spans="1:37" ht="13.5" customHeight="1">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row>
    <row r="81" spans="1:37" ht="13.5" customHeight="1">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row>
    <row r="82" spans="1:37" ht="13.5" customHeight="1">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row>
    <row r="83" spans="1:37" ht="13.5" customHeight="1" outlineLevel="1">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row>
    <row r="84" spans="1:37" ht="13.5" customHeight="1" outlineLevel="1">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row>
    <row r="85" spans="1:37" ht="13.5" customHeight="1">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row>
    <row r="86" spans="1:37" ht="13.5" customHeight="1">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row>
    <row r="87" spans="1:37" ht="13.5" customHeight="1">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row>
    <row r="88" spans="1:37" ht="13.5" customHeight="1">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row>
    <row r="89" spans="1:37" ht="13.5" customHeight="1">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row>
    <row r="90" spans="1:37" ht="13.5" customHeight="1">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row>
    <row r="91" spans="1:37" ht="13.5" customHeight="1">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row>
    <row r="92" spans="1:37" ht="13.5" customHeight="1">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row>
    <row r="93" spans="1:37" ht="13.5" customHeight="1">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row>
    <row r="94" spans="1:37" ht="13.5" customHeight="1">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row>
    <row r="95" spans="1:37" ht="13.5" customHeight="1">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row>
    <row r="96" spans="1:37" ht="13.5" customHeight="1">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row>
    <row r="97" spans="1:37" ht="13.5" customHeight="1">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row>
    <row r="98" spans="1:37" ht="13.5" customHeight="1">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row>
    <row r="99" spans="1:37" ht="13.5" customHeight="1">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row>
    <row r="100" spans="1:37" ht="13.5" customHeight="1">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row>
    <row r="101" spans="1:37" ht="13.5" customHeight="1">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row>
    <row r="102" spans="1:37" ht="13.5" customHeight="1">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row>
    <row r="103" spans="1:37" ht="13.5" customHeight="1">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row>
    <row r="104" spans="1:37" ht="13.5" customHeight="1">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row>
    <row r="105" spans="1:37" ht="13.5" customHeight="1">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row>
    <row r="106" spans="1:37" ht="13.5" customHeight="1">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row>
    <row r="107" spans="1:37" ht="13.5" customHeight="1">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row>
    <row r="108" spans="1:37" ht="13.5" customHeight="1">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row>
    <row r="109" spans="1:37" ht="13.5" customHeight="1">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row>
    <row r="110" spans="1:37" ht="13.5" customHeight="1">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row>
    <row r="111" spans="1:37" ht="13.5" customHeight="1">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row>
    <row r="112" spans="1:37" ht="13.5" customHeight="1">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row>
    <row r="113" spans="1:37" ht="13.5" customHeight="1">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row>
    <row r="114" spans="1:37" ht="13.5" customHeight="1">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row>
    <row r="115" spans="1:37" ht="13.5" customHeight="1">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row>
    <row r="116" spans="1:37" ht="13.5" customHeight="1">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row>
    <row r="117" spans="1:37" ht="13.5" customHeight="1">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row>
    <row r="118" spans="1:37" ht="13.5" customHeight="1">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row>
    <row r="119" spans="1:37" ht="13.5" customHeight="1">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row>
    <row r="120" spans="1:37" ht="13.5" customHeight="1">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row>
    <row r="121" spans="1:37" ht="13.5" customHeight="1">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row>
    <row r="122" spans="1:37" ht="13.5" customHeight="1">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row>
    <row r="123" spans="1:37" ht="13.5" customHeight="1">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row>
    <row r="124" spans="1:37" ht="13.5" customHeight="1">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row>
  </sheetData>
  <mergeCells count="1">
    <mergeCell ref="E3:G3"/>
  </mergeCells>
  <conditionalFormatting sqref="H2:AK3 H5:AK5">
    <cfRule type="cellIs" dxfId="16" priority="1" operator="equal">
      <formula>1</formula>
    </cfRule>
  </conditionalFormatting>
  <conditionalFormatting sqref="H2:AK3 H5:AK5">
    <cfRule type="cellIs" dxfId="15" priority="2" operator="equal">
      <formula>1</formula>
    </cfRule>
  </conditionalFormatting>
  <conditionalFormatting sqref="H2:AK3">
    <cfRule type="cellIs" dxfId="14" priority="3" operator="equal">
      <formula>1</formula>
    </cfRule>
  </conditionalFormatting>
  <conditionalFormatting sqref="H2:AK3">
    <cfRule type="cellIs" dxfId="13" priority="4" operator="equal">
      <formula>1</formula>
    </cfRule>
  </conditionalFormatting>
  <conditionalFormatting sqref="E6:E12 H6:J12 K12:AK12 B15 E16:E33 H21:AK21 H25:AK33 E35:E37 H35:AK37">
    <cfRule type="expression" dxfId="12" priority="5" stopIfTrue="1">
      <formula>"$C4=”Planet A"</formula>
    </cfRule>
  </conditionalFormatting>
  <conditionalFormatting sqref="H16:AK16">
    <cfRule type="expression" dxfId="11" priority="6" stopIfTrue="1">
      <formula>"$C4=”Planet A"</formula>
    </cfRule>
  </conditionalFormatting>
  <conditionalFormatting sqref="E6:E11 H6:J10 E14 E16:E30 H16:AK30 E35 H35:AK37">
    <cfRule type="expression" dxfId="10" priority="7" stopIfTrue="1">
      <formula>$C6="Planet A"</formula>
    </cfRule>
  </conditionalFormatting>
  <conditionalFormatting sqref="H17:AK24">
    <cfRule type="expression" dxfId="9" priority="8" stopIfTrue="1">
      <formula>"$C4=”Planet A"</formula>
    </cfRule>
  </conditionalFormatting>
  <conditionalFormatting sqref="B4:B5">
    <cfRule type="expression" dxfId="8" priority="9" stopIfTrue="1">
      <formula>"$C4=”Planet A"</formula>
    </cfRule>
  </conditionalFormatting>
  <conditionalFormatting sqref="H11:J11 H13:AK14">
    <cfRule type="expression" dxfId="7" priority="10" stopIfTrue="1">
      <formula>"$C4=”Planet A"</formula>
    </cfRule>
  </conditionalFormatting>
  <conditionalFormatting sqref="E11">
    <cfRule type="expression" dxfId="6" priority="11" stopIfTrue="1">
      <formula>"$C4=”Planet A"</formula>
    </cfRule>
  </conditionalFormatting>
  <conditionalFormatting sqref="E14">
    <cfRule type="expression" dxfId="5" priority="12" stopIfTrue="1">
      <formula>"$C4=”Planet A"</formula>
    </cfRule>
  </conditionalFormatting>
  <conditionalFormatting sqref="E13">
    <cfRule type="expression" dxfId="4" priority="13" stopIfTrue="1">
      <formula>"$C4=”Planet A"</formula>
    </cfRule>
  </conditionalFormatting>
  <conditionalFormatting sqref="E13">
    <cfRule type="expression" dxfId="3" priority="14" stopIfTrue="1">
      <formula>$C13="Planet A"</formula>
    </cfRule>
  </conditionalFormatting>
  <conditionalFormatting sqref="B10:B11">
    <cfRule type="expression" dxfId="2" priority="15" stopIfTrue="1">
      <formula>"$C4=”Planet A"</formula>
    </cfRule>
  </conditionalFormatting>
  <conditionalFormatting sqref="B34">
    <cfRule type="expression" dxfId="1" priority="16" stopIfTrue="1">
      <formula>"$C4=”Planet A"</formula>
    </cfRule>
  </conditionalFormatting>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24"/>
  <sheetViews>
    <sheetView showGridLines="0" workbookViewId="0"/>
  </sheetViews>
  <sheetFormatPr defaultColWidth="14.42578125" defaultRowHeight="15" customHeight="1" outlineLevelRow="1"/>
  <cols>
    <col min="1" max="1" width="37" customWidth="1"/>
    <col min="2" max="2" width="21.85546875" customWidth="1"/>
    <col min="3" max="3" width="30.42578125" customWidth="1"/>
    <col min="4" max="4" width="19.85546875" customWidth="1"/>
    <col min="5" max="5" width="7.28515625" customWidth="1"/>
    <col min="6" max="8" width="16.7109375" customWidth="1"/>
    <col min="9" max="9" width="4" customWidth="1"/>
    <col min="10" max="23" width="16.7109375" customWidth="1"/>
  </cols>
  <sheetData>
    <row r="1" spans="1:23" ht="15.75" customHeight="1">
      <c r="A1" s="302" t="s">
        <v>302</v>
      </c>
      <c r="B1" s="346"/>
      <c r="C1" s="346"/>
      <c r="D1" s="346"/>
      <c r="E1" s="346"/>
      <c r="F1" s="346"/>
      <c r="G1" s="346"/>
      <c r="H1" s="346"/>
      <c r="I1" s="203"/>
      <c r="J1" s="204"/>
      <c r="K1" s="205"/>
      <c r="L1" s="205"/>
      <c r="M1" s="205"/>
      <c r="N1" s="205"/>
      <c r="O1" s="205"/>
      <c r="P1" s="205"/>
      <c r="Q1" s="205"/>
      <c r="R1" s="205"/>
      <c r="S1" s="205"/>
      <c r="T1" s="205"/>
      <c r="U1" s="205"/>
      <c r="V1" s="205"/>
      <c r="W1" s="205"/>
    </row>
    <row r="2" spans="1:23" ht="15.75" customHeight="1">
      <c r="A2" s="348"/>
      <c r="B2" s="349"/>
      <c r="C2" s="349"/>
      <c r="D2" s="349"/>
      <c r="E2" s="349"/>
      <c r="F2" s="349"/>
      <c r="G2" s="349"/>
      <c r="H2" s="349"/>
      <c r="I2" s="449"/>
      <c r="J2" s="206"/>
      <c r="K2" s="205"/>
      <c r="L2" s="205"/>
      <c r="M2" s="205"/>
      <c r="N2" s="205"/>
      <c r="O2" s="205"/>
      <c r="P2" s="205"/>
      <c r="Q2" s="205"/>
      <c r="R2" s="205"/>
      <c r="S2" s="205"/>
      <c r="T2" s="205"/>
      <c r="U2" s="205"/>
      <c r="V2" s="205"/>
      <c r="W2" s="205"/>
    </row>
    <row r="3" spans="1:23" ht="15.75" customHeight="1">
      <c r="A3" s="348"/>
      <c r="B3" s="370"/>
      <c r="C3" s="370"/>
      <c r="D3" s="370"/>
      <c r="E3" s="370"/>
      <c r="F3" s="370"/>
      <c r="G3" s="370"/>
      <c r="H3" s="370"/>
      <c r="I3" s="449"/>
      <c r="J3" s="450"/>
      <c r="K3" s="308" t="s">
        <v>72</v>
      </c>
      <c r="L3" s="349"/>
      <c r="M3" s="349"/>
      <c r="N3" s="205"/>
      <c r="O3" s="205"/>
      <c r="P3" s="205"/>
      <c r="Q3" s="205"/>
      <c r="R3" s="205"/>
      <c r="S3" s="205"/>
      <c r="T3" s="205"/>
      <c r="U3" s="205"/>
      <c r="V3" s="205"/>
      <c r="W3" s="205"/>
    </row>
    <row r="4" spans="1:23" ht="15.75" customHeight="1">
      <c r="A4" s="351"/>
      <c r="B4" s="1"/>
      <c r="C4" s="209"/>
      <c r="D4" s="209"/>
      <c r="E4" s="209"/>
      <c r="F4" s="209"/>
      <c r="G4" s="209"/>
      <c r="H4" s="205"/>
      <c r="I4" s="352"/>
      <c r="J4" s="1"/>
      <c r="K4" s="349"/>
      <c r="L4" s="349"/>
      <c r="M4" s="349"/>
      <c r="N4" s="205"/>
      <c r="O4" s="205"/>
      <c r="P4" s="205"/>
      <c r="Q4" s="205"/>
      <c r="R4" s="205"/>
      <c r="S4" s="205"/>
      <c r="T4" s="205"/>
      <c r="U4" s="205"/>
      <c r="V4" s="205"/>
      <c r="W4" s="205"/>
    </row>
    <row r="5" spans="1:23" ht="15.75" customHeight="1">
      <c r="A5" s="424"/>
      <c r="B5" s="94"/>
      <c r="C5" s="94"/>
      <c r="D5" s="32"/>
      <c r="E5" s="209"/>
      <c r="F5" s="209"/>
      <c r="G5" s="209"/>
      <c r="H5" s="451"/>
      <c r="I5" s="352"/>
      <c r="J5" s="1"/>
      <c r="K5" s="451"/>
      <c r="L5" s="209"/>
      <c r="M5" s="209"/>
      <c r="N5" s="209"/>
      <c r="O5" s="209"/>
      <c r="P5" s="209"/>
      <c r="Q5" s="209"/>
      <c r="R5" s="209"/>
      <c r="S5" s="209"/>
      <c r="T5" s="209"/>
      <c r="U5" s="209"/>
      <c r="V5" s="209"/>
      <c r="W5" s="209"/>
    </row>
    <row r="6" spans="1:23" ht="15.75" customHeight="1">
      <c r="A6" s="127" t="s">
        <v>303</v>
      </c>
      <c r="B6" s="207" t="s">
        <v>304</v>
      </c>
      <c r="C6" s="208" t="str">
        <f>"Levelized Cost of "&amp;'2. Cost Inputs'!B9&amp;"(€/ Ton)"</f>
        <v>Levelized Cost of Co2(€/ Ton)</v>
      </c>
      <c r="D6" s="32"/>
      <c r="E6" s="209"/>
      <c r="F6" s="209"/>
      <c r="G6" s="209"/>
      <c r="H6" s="451"/>
      <c r="I6" s="352"/>
      <c r="J6" s="1"/>
      <c r="K6" s="452" t="s">
        <v>305</v>
      </c>
      <c r="L6" s="320" t="s">
        <v>306</v>
      </c>
      <c r="M6" s="349"/>
      <c r="N6" s="349"/>
      <c r="O6" s="349"/>
      <c r="P6" s="349"/>
      <c r="Q6" s="349"/>
      <c r="R6" s="349"/>
      <c r="S6" s="209"/>
      <c r="T6" s="209"/>
      <c r="U6" s="209"/>
      <c r="V6" s="209"/>
      <c r="W6" s="209"/>
    </row>
    <row r="7" spans="1:23" ht="15.75" customHeight="1">
      <c r="A7" s="453" t="s">
        <v>307</v>
      </c>
      <c r="B7" s="210">
        <f>'2. Cost Inputs'!B10</f>
        <v>2000</v>
      </c>
      <c r="C7" s="454">
        <f>B36</f>
        <v>167.73540423303982</v>
      </c>
      <c r="D7" s="32"/>
      <c r="E7" s="209"/>
      <c r="F7" s="209"/>
      <c r="G7" s="209"/>
      <c r="H7" s="451"/>
      <c r="I7" s="352"/>
      <c r="J7" s="1"/>
      <c r="K7" s="348"/>
      <c r="L7" s="349"/>
      <c r="M7" s="349"/>
      <c r="N7" s="349"/>
      <c r="O7" s="349"/>
      <c r="P7" s="349"/>
      <c r="Q7" s="349"/>
      <c r="R7" s="349"/>
      <c r="S7" s="209"/>
      <c r="T7" s="209"/>
      <c r="U7" s="209"/>
      <c r="V7" s="209"/>
      <c r="W7" s="209"/>
    </row>
    <row r="8" spans="1:23" ht="15.75" customHeight="1">
      <c r="A8" s="453" t="s">
        <v>308</v>
      </c>
      <c r="B8" s="211">
        <v>10000</v>
      </c>
      <c r="C8" s="455">
        <f>SUM(D16:D35)</f>
        <v>148.82596554390005</v>
      </c>
      <c r="D8" s="32"/>
      <c r="E8" s="209"/>
      <c r="F8" s="209"/>
      <c r="G8" s="209"/>
      <c r="H8" s="451"/>
      <c r="I8" s="352"/>
      <c r="J8" s="1"/>
      <c r="K8" s="348"/>
      <c r="L8" s="349"/>
      <c r="M8" s="349"/>
      <c r="N8" s="349"/>
      <c r="O8" s="349"/>
      <c r="P8" s="349"/>
      <c r="Q8" s="349"/>
      <c r="R8" s="349"/>
      <c r="S8" s="209"/>
      <c r="T8" s="209"/>
      <c r="U8" s="209"/>
      <c r="V8" s="209"/>
      <c r="W8" s="209"/>
    </row>
    <row r="9" spans="1:23" ht="15.75" customHeight="1">
      <c r="A9" s="212" t="s">
        <v>309</v>
      </c>
      <c r="B9" s="456">
        <v>100000</v>
      </c>
      <c r="C9" s="457"/>
      <c r="D9" s="1"/>
      <c r="E9" s="32"/>
      <c r="F9" s="209"/>
      <c r="G9" s="209"/>
      <c r="H9" s="451"/>
      <c r="I9" s="352"/>
      <c r="J9" s="1"/>
      <c r="K9" s="348"/>
      <c r="L9" s="349"/>
      <c r="M9" s="349"/>
      <c r="N9" s="349"/>
      <c r="O9" s="349"/>
      <c r="P9" s="349"/>
      <c r="Q9" s="349"/>
      <c r="R9" s="349"/>
      <c r="S9" s="209"/>
      <c r="T9" s="209"/>
      <c r="U9" s="209"/>
      <c r="V9" s="209"/>
      <c r="W9" s="209"/>
    </row>
    <row r="10" spans="1:23" ht="15.75" customHeight="1">
      <c r="A10" s="351"/>
      <c r="B10" s="1"/>
      <c r="C10" s="1"/>
      <c r="D10" s="1"/>
      <c r="E10" s="32"/>
      <c r="F10" s="209"/>
      <c r="G10" s="209"/>
      <c r="H10" s="451"/>
      <c r="I10" s="352"/>
      <c r="J10" s="1"/>
      <c r="K10" s="348"/>
      <c r="L10" s="349"/>
      <c r="M10" s="349"/>
      <c r="N10" s="349"/>
      <c r="O10" s="349"/>
      <c r="P10" s="349"/>
      <c r="Q10" s="349"/>
      <c r="R10" s="349"/>
      <c r="S10" s="209"/>
      <c r="T10" s="209"/>
      <c r="U10" s="209"/>
      <c r="V10" s="209"/>
      <c r="W10" s="209"/>
    </row>
    <row r="11" spans="1:23" ht="15.75" customHeight="1">
      <c r="A11" s="458"/>
      <c r="B11" s="1"/>
      <c r="C11" s="1"/>
      <c r="D11" s="1"/>
      <c r="E11" s="32"/>
      <c r="F11" s="209"/>
      <c r="G11" s="209"/>
      <c r="H11" s="1"/>
      <c r="I11" s="352"/>
      <c r="J11" s="1"/>
      <c r="K11" s="1"/>
      <c r="L11" s="1"/>
      <c r="M11" s="1"/>
      <c r="N11" s="1"/>
      <c r="O11" s="1"/>
      <c r="P11" s="1"/>
      <c r="Q11" s="1"/>
      <c r="R11" s="1"/>
      <c r="S11" s="1"/>
      <c r="T11" s="213"/>
      <c r="U11" s="213"/>
      <c r="V11" s="213"/>
      <c r="W11" s="213"/>
    </row>
    <row r="12" spans="1:23" ht="15.75" customHeight="1">
      <c r="A12" s="351"/>
      <c r="B12" s="1"/>
      <c r="C12" s="1"/>
      <c r="D12" s="1"/>
      <c r="E12" s="32"/>
      <c r="F12" s="209"/>
      <c r="G12" s="209"/>
      <c r="H12" s="213"/>
      <c r="I12" s="352"/>
      <c r="J12" s="1"/>
      <c r="L12" s="213"/>
      <c r="M12" s="213"/>
      <c r="N12" s="213"/>
      <c r="O12" s="213"/>
      <c r="P12" s="213"/>
      <c r="Q12" s="213"/>
      <c r="R12" s="213"/>
      <c r="S12" s="213"/>
      <c r="T12" s="32"/>
      <c r="U12" s="32"/>
      <c r="V12" s="32"/>
      <c r="W12" s="32"/>
    </row>
    <row r="13" spans="1:23" ht="15.75" customHeight="1">
      <c r="A13" s="424" t="s">
        <v>310</v>
      </c>
      <c r="B13" s="94" t="s">
        <v>311</v>
      </c>
      <c r="C13" s="94" t="s">
        <v>312</v>
      </c>
      <c r="D13" s="94" t="s">
        <v>313</v>
      </c>
      <c r="E13" s="1"/>
      <c r="F13" s="1"/>
      <c r="G13" s="1"/>
      <c r="H13" s="459"/>
      <c r="I13" s="352"/>
      <c r="J13" s="1"/>
      <c r="K13" s="460" t="s">
        <v>314</v>
      </c>
      <c r="L13" s="459" t="s">
        <v>315</v>
      </c>
      <c r="M13" s="461" t="s">
        <v>316</v>
      </c>
      <c r="N13" s="349"/>
      <c r="O13" s="349"/>
      <c r="P13" s="349"/>
      <c r="Q13" s="349"/>
      <c r="R13" s="349"/>
      <c r="S13" s="32"/>
      <c r="T13" s="209"/>
      <c r="U13" s="209"/>
      <c r="V13" s="209"/>
      <c r="W13" s="209"/>
    </row>
    <row r="14" spans="1:23" ht="15.75" customHeight="1">
      <c r="A14" s="214" t="s">
        <v>317</v>
      </c>
      <c r="B14" s="462">
        <f>B7</f>
        <v>2000</v>
      </c>
      <c r="C14" s="463"/>
      <c r="D14" s="215">
        <f>B8</f>
        <v>10000</v>
      </c>
      <c r="E14" s="1"/>
      <c r="F14" s="1"/>
      <c r="G14" s="1"/>
      <c r="H14" s="451"/>
      <c r="I14" s="352"/>
      <c r="J14" s="1"/>
      <c r="K14" s="348"/>
      <c r="L14" s="451" t="s">
        <v>318</v>
      </c>
      <c r="M14" s="320" t="s">
        <v>319</v>
      </c>
      <c r="N14" s="349"/>
      <c r="O14" s="349"/>
      <c r="P14" s="349"/>
      <c r="Q14" s="349"/>
      <c r="R14" s="349"/>
      <c r="S14" s="209"/>
      <c r="T14" s="209"/>
      <c r="U14" s="209"/>
      <c r="V14" s="209"/>
      <c r="W14" s="209"/>
    </row>
    <row r="15" spans="1:23" ht="15.75" customHeight="1">
      <c r="A15" s="464" t="s">
        <v>215</v>
      </c>
      <c r="B15" s="465"/>
      <c r="C15" s="465"/>
      <c r="D15" s="466"/>
      <c r="E15" s="1"/>
      <c r="F15" s="1"/>
      <c r="G15" s="1"/>
      <c r="H15" s="459"/>
      <c r="I15" s="352"/>
      <c r="J15" s="1"/>
      <c r="K15" s="348"/>
      <c r="L15" s="459" t="s">
        <v>320</v>
      </c>
      <c r="M15" s="320" t="s">
        <v>321</v>
      </c>
      <c r="N15" s="349"/>
      <c r="O15" s="349"/>
      <c r="P15" s="349"/>
      <c r="Q15" s="349"/>
      <c r="R15" s="349"/>
      <c r="S15" s="209"/>
      <c r="T15" s="209"/>
      <c r="U15" s="209"/>
      <c r="V15" s="209"/>
      <c r="W15" s="209"/>
    </row>
    <row r="16" spans="1:23" ht="15.75" customHeight="1">
      <c r="A16" s="428" t="str">
        <f>'3. Outputs'!A12</f>
        <v>Raw material 1</v>
      </c>
      <c r="B16" s="216">
        <f>'3. Outputs'!B12</f>
        <v>25</v>
      </c>
      <c r="C16" s="217">
        <v>0</v>
      </c>
      <c r="D16" s="218">
        <f t="shared" ref="D16:D23" si="0">B16*($B$8/$B$7)^(-(-LOG(1-C16))/(LOG(2)))</f>
        <v>25</v>
      </c>
      <c r="E16" s="1"/>
      <c r="F16" s="1"/>
      <c r="G16" s="1"/>
      <c r="H16" s="459"/>
      <c r="I16" s="352"/>
      <c r="J16" s="1"/>
      <c r="K16" s="348"/>
      <c r="L16" s="459" t="s">
        <v>322</v>
      </c>
      <c r="M16" s="320" t="s">
        <v>323</v>
      </c>
      <c r="N16" s="349"/>
      <c r="O16" s="349"/>
      <c r="P16" s="349"/>
      <c r="Q16" s="349"/>
      <c r="R16" s="349"/>
      <c r="S16" s="209"/>
      <c r="T16" s="209"/>
      <c r="U16" s="209"/>
      <c r="V16" s="209"/>
      <c r="W16" s="209"/>
    </row>
    <row r="17" spans="1:23" ht="15.75" customHeight="1">
      <c r="A17" s="428" t="str">
        <f>'3. Outputs'!A13</f>
        <v>Raw material 2</v>
      </c>
      <c r="B17" s="216">
        <f>'3. Outputs'!B13</f>
        <v>5</v>
      </c>
      <c r="C17" s="217">
        <v>0</v>
      </c>
      <c r="D17" s="218">
        <f t="shared" si="0"/>
        <v>5</v>
      </c>
      <c r="E17" s="1"/>
      <c r="F17" s="1"/>
      <c r="G17" s="1"/>
      <c r="H17" s="459"/>
      <c r="I17" s="352"/>
      <c r="J17" s="1"/>
      <c r="K17" s="348"/>
      <c r="L17" s="459" t="s">
        <v>324</v>
      </c>
      <c r="M17" s="320" t="s">
        <v>325</v>
      </c>
      <c r="N17" s="349"/>
      <c r="O17" s="349"/>
      <c r="P17" s="349"/>
      <c r="Q17" s="349"/>
      <c r="R17" s="349"/>
      <c r="S17" s="209"/>
      <c r="T17" s="209"/>
      <c r="U17" s="209"/>
      <c r="V17" s="209"/>
      <c r="W17" s="209"/>
    </row>
    <row r="18" spans="1:23" ht="15.75" customHeight="1">
      <c r="A18" s="428" t="str">
        <f>'3. Outputs'!A14</f>
        <v>Raw material 3</v>
      </c>
      <c r="B18" s="216">
        <f>'3. Outputs'!B14</f>
        <v>10</v>
      </c>
      <c r="C18" s="217">
        <v>0</v>
      </c>
      <c r="D18" s="218">
        <f t="shared" si="0"/>
        <v>10</v>
      </c>
      <c r="E18" s="1"/>
      <c r="F18" s="1"/>
      <c r="G18" s="1"/>
      <c r="H18" s="1"/>
      <c r="I18" s="352"/>
      <c r="J18" s="1"/>
      <c r="K18" s="348"/>
      <c r="L18" s="459" t="s">
        <v>326</v>
      </c>
      <c r="M18" s="320" t="s">
        <v>327</v>
      </c>
      <c r="N18" s="349"/>
      <c r="O18" s="349"/>
      <c r="P18" s="349"/>
      <c r="Q18" s="349"/>
      <c r="R18" s="349"/>
      <c r="S18" s="209"/>
      <c r="T18" s="459"/>
      <c r="U18" s="459"/>
      <c r="V18" s="459"/>
      <c r="W18" s="459"/>
    </row>
    <row r="19" spans="1:23" ht="15.75" customHeight="1">
      <c r="A19" s="428" t="str">
        <f>'3. Outputs'!A15</f>
        <v>Other Raw Materials</v>
      </c>
      <c r="B19" s="216">
        <f>'3. Outputs'!B15</f>
        <v>30</v>
      </c>
      <c r="C19" s="217">
        <v>0</v>
      </c>
      <c r="D19" s="218">
        <f t="shared" si="0"/>
        <v>30</v>
      </c>
      <c r="E19" s="1"/>
      <c r="F19" s="1"/>
      <c r="G19" s="1"/>
      <c r="H19" s="1"/>
      <c r="I19" s="352"/>
      <c r="J19" s="1"/>
      <c r="K19" s="459"/>
      <c r="M19" s="459"/>
      <c r="N19" s="459"/>
      <c r="O19" s="459"/>
      <c r="P19" s="459"/>
      <c r="Q19" s="459"/>
      <c r="R19" s="459"/>
      <c r="S19" s="459"/>
      <c r="T19" s="209"/>
      <c r="U19" s="209"/>
      <c r="V19" s="209"/>
      <c r="W19" s="209"/>
    </row>
    <row r="20" spans="1:23" ht="15.75" customHeight="1">
      <c r="A20" s="428" t="str">
        <f>'3. Outputs'!A16</f>
        <v>Energy</v>
      </c>
      <c r="B20" s="216">
        <f>'3. Outputs'!B16</f>
        <v>31.950000000000003</v>
      </c>
      <c r="C20" s="217">
        <v>0</v>
      </c>
      <c r="D20" s="218">
        <f t="shared" si="0"/>
        <v>31.950000000000003</v>
      </c>
      <c r="E20" s="1"/>
      <c r="F20" s="1"/>
      <c r="G20" s="1"/>
      <c r="H20" s="1"/>
      <c r="I20" s="352"/>
      <c r="J20" s="1"/>
      <c r="K20" s="460" t="s">
        <v>7</v>
      </c>
      <c r="L20" s="459" t="s">
        <v>328</v>
      </c>
      <c r="M20" s="320" t="s">
        <v>329</v>
      </c>
      <c r="N20" s="349"/>
      <c r="O20" s="349"/>
      <c r="P20" s="349"/>
      <c r="Q20" s="349"/>
      <c r="R20" s="349"/>
      <c r="S20" s="209"/>
      <c r="T20" s="209"/>
      <c r="U20" s="209"/>
      <c r="V20" s="209"/>
      <c r="W20" s="209"/>
    </row>
    <row r="21" spans="1:23" ht="15.75" customHeight="1">
      <c r="A21" s="428" t="str">
        <f>'3. Outputs'!A17</f>
        <v>Labor</v>
      </c>
      <c r="B21" s="216">
        <f>'3. Outputs'!B17</f>
        <v>22.0533</v>
      </c>
      <c r="C21" s="217">
        <v>0</v>
      </c>
      <c r="D21" s="218">
        <f t="shared" si="0"/>
        <v>22.0533</v>
      </c>
      <c r="E21" s="1"/>
      <c r="F21" s="1"/>
      <c r="G21" s="1"/>
      <c r="H21" s="1"/>
      <c r="I21" s="352"/>
      <c r="J21" s="1"/>
      <c r="K21" s="348"/>
      <c r="L21" s="459" t="s">
        <v>330</v>
      </c>
      <c r="M21" s="320" t="s">
        <v>331</v>
      </c>
      <c r="N21" s="349"/>
      <c r="O21" s="349"/>
      <c r="P21" s="349"/>
      <c r="Q21" s="349"/>
      <c r="R21" s="349"/>
      <c r="S21" s="209"/>
      <c r="T21" s="459"/>
      <c r="U21" s="459"/>
      <c r="V21" s="459"/>
      <c r="W21" s="459"/>
    </row>
    <row r="22" spans="1:23" ht="15.75" customHeight="1">
      <c r="A22" s="428" t="str">
        <f>'3. Outputs'!A18</f>
        <v>Other Variable Operating Expenses</v>
      </c>
      <c r="B22" s="216">
        <f>'3. Outputs'!B18</f>
        <v>12.0129</v>
      </c>
      <c r="C22" s="219">
        <v>0.25</v>
      </c>
      <c r="D22" s="218">
        <f t="shared" si="0"/>
        <v>6.1595516202027083</v>
      </c>
      <c r="E22" s="1"/>
      <c r="F22" s="1"/>
      <c r="G22" s="1"/>
      <c r="H22" s="1"/>
      <c r="I22" s="352"/>
      <c r="J22" s="1"/>
      <c r="K22" s="348"/>
      <c r="L22" s="459"/>
      <c r="M22" s="459"/>
      <c r="N22" s="459"/>
      <c r="O22" s="459"/>
      <c r="P22" s="459"/>
      <c r="Q22" s="459"/>
      <c r="R22" s="459"/>
      <c r="S22" s="459"/>
      <c r="T22" s="459"/>
      <c r="U22" s="459"/>
      <c r="V22" s="459"/>
      <c r="W22" s="459"/>
    </row>
    <row r="23" spans="1:23" ht="15.75" customHeight="1">
      <c r="A23" s="220" t="str">
        <f>'3. Outputs'!A19</f>
        <v>Fixed Operating Expenses</v>
      </c>
      <c r="B23" s="221">
        <f>'3. Outputs'!B19</f>
        <v>10.593888888888889</v>
      </c>
      <c r="C23" s="222">
        <v>0.25</v>
      </c>
      <c r="D23" s="223">
        <f t="shared" si="0"/>
        <v>5.4319610976369592</v>
      </c>
      <c r="E23" s="1"/>
      <c r="F23" s="1"/>
      <c r="G23" s="1"/>
      <c r="H23" s="1"/>
      <c r="I23" s="352"/>
      <c r="J23" s="1"/>
      <c r="K23" s="348"/>
      <c r="L23" s="459"/>
      <c r="M23" s="459"/>
      <c r="N23" s="459"/>
      <c r="O23" s="459"/>
      <c r="P23" s="459"/>
      <c r="Q23" s="459"/>
      <c r="R23" s="459"/>
      <c r="S23" s="459"/>
      <c r="T23" s="209"/>
      <c r="U23" s="209"/>
      <c r="V23" s="209"/>
      <c r="W23" s="209"/>
    </row>
    <row r="24" spans="1:23" ht="15.75" customHeight="1">
      <c r="A24" s="467" t="s">
        <v>169</v>
      </c>
      <c r="B24" s="468"/>
      <c r="C24" s="468"/>
      <c r="D24" s="469"/>
      <c r="E24" s="1"/>
      <c r="F24" s="1"/>
      <c r="G24" s="1"/>
      <c r="H24" s="1"/>
      <c r="I24" s="352"/>
      <c r="J24" s="1"/>
      <c r="K24" s="348"/>
      <c r="L24" s="459" t="s">
        <v>332</v>
      </c>
      <c r="M24" s="320" t="s">
        <v>333</v>
      </c>
      <c r="N24" s="349"/>
      <c r="O24" s="349"/>
      <c r="P24" s="349"/>
      <c r="Q24" s="349"/>
      <c r="R24" s="349"/>
      <c r="S24" s="209"/>
      <c r="T24" s="209"/>
      <c r="U24" s="209"/>
      <c r="V24" s="209"/>
      <c r="W24" s="209"/>
    </row>
    <row r="25" spans="1:23" ht="15.75" customHeight="1">
      <c r="A25" s="96" t="str">
        <f>'2. Cost Inputs'!A67</f>
        <v>Process Equipment 1</v>
      </c>
      <c r="B25" s="224">
        <f>'2. Cost Inputs'!B67*'2. Cost Inputs'!D67/'2. Cost Inputs'!$B$15/'3. Outputs'!$B$9</f>
        <v>0.22222222222222221</v>
      </c>
      <c r="C25" s="225">
        <v>0.12</v>
      </c>
      <c r="D25" s="226">
        <f t="shared" ref="D25:D35" si="1">B25*($B$8/$B$7)^(-(-LOG(1-C25))/(LOG(2)))</f>
        <v>0.16515063311960765</v>
      </c>
      <c r="E25" s="1"/>
      <c r="F25" s="1"/>
      <c r="G25" s="1"/>
      <c r="H25" s="1"/>
      <c r="I25" s="352"/>
      <c r="J25" s="1"/>
      <c r="K25" s="348"/>
      <c r="L25" s="459"/>
      <c r="M25" s="209"/>
      <c r="N25" s="209"/>
      <c r="O25" s="209"/>
      <c r="P25" s="209"/>
      <c r="Q25" s="209"/>
      <c r="R25" s="209"/>
      <c r="S25" s="209"/>
      <c r="T25" s="459"/>
      <c r="U25" s="459"/>
      <c r="V25" s="459"/>
      <c r="W25" s="459"/>
    </row>
    <row r="26" spans="1:23" ht="15.75" customHeight="1">
      <c r="A26" s="428" t="str">
        <f>'2. Cost Inputs'!A68</f>
        <v>Process Equipment 2</v>
      </c>
      <c r="B26" s="216">
        <f>'2. Cost Inputs'!B68*'2. Cost Inputs'!D68/'2. Cost Inputs'!$B$15/'3. Outputs'!$B$9</f>
        <v>5.1851851851851851</v>
      </c>
      <c r="C26" s="217">
        <v>0.12</v>
      </c>
      <c r="D26" s="218">
        <f t="shared" si="1"/>
        <v>3.8535147727908452</v>
      </c>
      <c r="E26" s="1"/>
      <c r="F26" s="1"/>
      <c r="G26" s="1"/>
      <c r="H26" s="1"/>
      <c r="I26" s="352"/>
      <c r="J26" s="1"/>
      <c r="K26" s="459"/>
      <c r="L26" s="459"/>
      <c r="M26" s="459"/>
      <c r="N26" s="459"/>
      <c r="O26" s="459"/>
      <c r="P26" s="459"/>
      <c r="Q26" s="459"/>
      <c r="R26" s="459"/>
      <c r="S26" s="459"/>
      <c r="T26" s="459"/>
      <c r="U26" s="459"/>
      <c r="V26" s="459"/>
      <c r="W26" s="459"/>
    </row>
    <row r="27" spans="1:23" ht="15.75" customHeight="1">
      <c r="A27" s="428" t="str">
        <f>'2. Cost Inputs'!A69</f>
        <v>Process Equipment 3</v>
      </c>
      <c r="B27" s="216">
        <f>'2. Cost Inputs'!B69*'2. Cost Inputs'!D69/'2. Cost Inputs'!$B$15/'3. Outputs'!$B$9</f>
        <v>0.79629629629629628</v>
      </c>
      <c r="C27" s="217">
        <v>0.12</v>
      </c>
      <c r="D27" s="218">
        <f t="shared" si="1"/>
        <v>0.59178976867859412</v>
      </c>
      <c r="E27" s="1"/>
      <c r="F27" s="1"/>
      <c r="G27" s="1"/>
      <c r="H27" s="1"/>
      <c r="I27" s="352"/>
      <c r="J27" s="1"/>
      <c r="K27" s="452" t="s">
        <v>334</v>
      </c>
      <c r="L27" s="459"/>
      <c r="M27" s="3" t="s">
        <v>335</v>
      </c>
      <c r="N27" s="32"/>
      <c r="O27" s="470" t="s">
        <v>336</v>
      </c>
      <c r="P27" s="459"/>
      <c r="Q27" s="459"/>
      <c r="R27" s="459"/>
      <c r="S27" s="459"/>
      <c r="T27" s="459"/>
      <c r="U27" s="459"/>
      <c r="V27" s="459"/>
      <c r="W27" s="459"/>
    </row>
    <row r="28" spans="1:23" ht="15.75" customHeight="1">
      <c r="A28" s="428" t="str">
        <f>'2. Cost Inputs'!A70</f>
        <v>Process Equipment 4</v>
      </c>
      <c r="B28" s="216">
        <f>'2. Cost Inputs'!B70*'2. Cost Inputs'!D70/'2. Cost Inputs'!$B$15/'3. Outputs'!$B$9</f>
        <v>4.4444444444444446E-2</v>
      </c>
      <c r="C28" s="217">
        <v>0.12</v>
      </c>
      <c r="D28" s="218">
        <f t="shared" si="1"/>
        <v>3.3030126623921532E-2</v>
      </c>
      <c r="E28" s="1"/>
      <c r="I28" s="352"/>
      <c r="J28" s="1"/>
      <c r="K28" s="348"/>
      <c r="L28" s="459"/>
      <c r="M28" s="26" t="s">
        <v>337</v>
      </c>
      <c r="N28" s="471"/>
      <c r="O28" s="26" t="s">
        <v>338</v>
      </c>
      <c r="P28" s="459"/>
      <c r="Q28" s="459"/>
      <c r="R28" s="459"/>
      <c r="S28" s="459"/>
      <c r="T28" s="459"/>
      <c r="U28" s="459"/>
      <c r="V28" s="459"/>
      <c r="W28" s="459"/>
    </row>
    <row r="29" spans="1:23" ht="15.75" customHeight="1">
      <c r="A29" s="428" t="str">
        <f>'2. Cost Inputs'!A71</f>
        <v>Process Equipment 5</v>
      </c>
      <c r="B29" s="216">
        <f>'2. Cost Inputs'!B71*'2. Cost Inputs'!D71/'2. Cost Inputs'!$B$15/'3. Outputs'!$B$9</f>
        <v>5.1851851851851859E-3</v>
      </c>
      <c r="C29" s="217">
        <v>0.12</v>
      </c>
      <c r="D29" s="218">
        <f t="shared" si="1"/>
        <v>3.8535147727908458E-3</v>
      </c>
      <c r="E29" s="1"/>
      <c r="F29" s="1"/>
      <c r="G29" s="1"/>
      <c r="H29" s="1"/>
      <c r="I29" s="352"/>
      <c r="J29" s="1"/>
      <c r="K29" s="348"/>
      <c r="L29" s="459"/>
      <c r="M29" s="26" t="s">
        <v>339</v>
      </c>
      <c r="N29" s="471"/>
      <c r="O29" s="472" t="s">
        <v>340</v>
      </c>
      <c r="P29" s="459"/>
      <c r="Q29" s="459"/>
      <c r="R29" s="459"/>
      <c r="S29" s="459"/>
      <c r="T29" s="451"/>
      <c r="U29" s="451"/>
      <c r="V29" s="451"/>
      <c r="W29" s="451"/>
    </row>
    <row r="30" spans="1:23" ht="15.75" customHeight="1">
      <c r="A30" s="428" t="str">
        <f>'2. Cost Inputs'!A72</f>
        <v>Process Equipment 6</v>
      </c>
      <c r="B30" s="216">
        <f>'2. Cost Inputs'!B72*'2. Cost Inputs'!D72/'2. Cost Inputs'!$B$15/'3. Outputs'!$B$9</f>
        <v>2.9629629629629631E-2</v>
      </c>
      <c r="C30" s="217">
        <v>0.12</v>
      </c>
      <c r="D30" s="218">
        <f t="shared" si="1"/>
        <v>2.2020084415947688E-2</v>
      </c>
      <c r="E30" s="1"/>
      <c r="F30" s="227" t="s">
        <v>341</v>
      </c>
      <c r="G30" s="473" t="s">
        <v>174</v>
      </c>
      <c r="H30" s="474"/>
      <c r="I30" s="352"/>
      <c r="J30" s="1"/>
      <c r="L30" s="451"/>
      <c r="M30" s="451"/>
      <c r="N30" s="451"/>
      <c r="O30" s="451"/>
      <c r="P30" s="451"/>
      <c r="Q30" s="451"/>
      <c r="R30" s="451"/>
      <c r="S30" s="451"/>
      <c r="T30" s="32"/>
      <c r="U30" s="32"/>
      <c r="V30" s="32"/>
      <c r="W30" s="32"/>
    </row>
    <row r="31" spans="1:23" ht="15.75" customHeight="1">
      <c r="A31" s="428" t="str">
        <f>'3. Outputs'!A23</f>
        <v>Supporting Facilities/Infrastructure</v>
      </c>
      <c r="B31" s="216">
        <f>'3. Outputs'!B23</f>
        <v>2.5925925925925926</v>
      </c>
      <c r="C31" s="217">
        <v>0.25</v>
      </c>
      <c r="D31" s="218">
        <f t="shared" si="1"/>
        <v>1.3293382866942407</v>
      </c>
      <c r="E31" s="1"/>
      <c r="F31" s="1"/>
      <c r="G31" s="1"/>
      <c r="H31" s="1"/>
      <c r="I31" s="352"/>
      <c r="J31" s="1"/>
      <c r="N31" s="32"/>
      <c r="O31" s="32"/>
      <c r="P31" s="32"/>
      <c r="Q31" s="32"/>
      <c r="R31" s="32"/>
      <c r="S31" s="32"/>
      <c r="T31" s="471"/>
      <c r="U31" s="471"/>
      <c r="V31" s="471"/>
      <c r="W31" s="471"/>
    </row>
    <row r="32" spans="1:23" ht="15.75" customHeight="1">
      <c r="A32" s="428" t="str">
        <f>'3. Outputs'!A24</f>
        <v>Land</v>
      </c>
      <c r="B32" s="216">
        <f>'3. Outputs'!B24</f>
        <v>5.37037037037037E-3</v>
      </c>
      <c r="C32" s="217">
        <v>0</v>
      </c>
      <c r="D32" s="218">
        <f t="shared" si="1"/>
        <v>5.37037037037037E-3</v>
      </c>
      <c r="E32" s="1"/>
      <c r="F32" s="1"/>
      <c r="G32" s="1"/>
      <c r="H32" s="1"/>
      <c r="I32" s="352"/>
      <c r="J32" s="1"/>
      <c r="N32" s="471"/>
      <c r="O32" s="471"/>
      <c r="P32" s="471"/>
      <c r="Q32" s="471"/>
      <c r="R32" s="471"/>
      <c r="S32" s="471"/>
      <c r="T32" s="471"/>
      <c r="U32" s="471"/>
      <c r="V32" s="471"/>
      <c r="W32" s="471"/>
    </row>
    <row r="33" spans="1:23" ht="15.75" customHeight="1">
      <c r="A33" s="428" t="str">
        <f>'3. Outputs'!A25</f>
        <v>Engineering &amp; Construction</v>
      </c>
      <c r="B33" s="216">
        <f>'3. Outputs'!B25</f>
        <v>4.6493925925925925</v>
      </c>
      <c r="C33" s="217">
        <v>0.25</v>
      </c>
      <c r="D33" s="218">
        <f t="shared" si="1"/>
        <v>2.3839517249508591</v>
      </c>
      <c r="E33" s="1"/>
      <c r="F33" s="1"/>
      <c r="G33" s="1"/>
      <c r="H33" s="1"/>
      <c r="I33" s="352"/>
      <c r="J33" s="1"/>
      <c r="N33" s="471"/>
      <c r="O33" s="471"/>
      <c r="P33" s="471"/>
      <c r="Q33" s="471"/>
      <c r="R33" s="471"/>
      <c r="S33" s="471"/>
      <c r="T33" s="471"/>
      <c r="U33" s="471"/>
      <c r="V33" s="471"/>
      <c r="W33" s="471"/>
    </row>
    <row r="34" spans="1:23" ht="15.75" customHeight="1">
      <c r="A34" s="428" t="str">
        <f>'3. Outputs'!A26</f>
        <v>Contingency</v>
      </c>
      <c r="B34" s="216">
        <f>'3. Outputs'!B26</f>
        <v>4.083925925925926</v>
      </c>
      <c r="C34" s="217">
        <v>0.25</v>
      </c>
      <c r="D34" s="218">
        <f t="shared" si="1"/>
        <v>2.0940116502946733</v>
      </c>
      <c r="E34" s="1"/>
      <c r="F34" s="1"/>
      <c r="G34" s="1"/>
      <c r="H34" s="1"/>
      <c r="I34" s="352"/>
      <c r="J34" s="1"/>
      <c r="K34" s="1"/>
      <c r="L34" s="1"/>
      <c r="M34" s="1"/>
      <c r="N34" s="1"/>
      <c r="O34" s="1"/>
      <c r="P34" s="1"/>
      <c r="Q34" s="1"/>
      <c r="R34" s="471"/>
      <c r="S34" s="471"/>
      <c r="T34" s="471"/>
      <c r="U34" s="471"/>
      <c r="V34" s="471"/>
      <c r="W34" s="471"/>
    </row>
    <row r="35" spans="1:23">
      <c r="A35" s="107" t="str">
        <f>'3. Outputs'!A27</f>
        <v>Cost of Capital</v>
      </c>
      <c r="B35" s="228">
        <f>'3. Outputs'!B27</f>
        <v>3.5110708997064419</v>
      </c>
      <c r="C35" s="229">
        <v>0.1</v>
      </c>
      <c r="D35" s="230">
        <f t="shared" si="1"/>
        <v>2.7491218933485446</v>
      </c>
      <c r="E35" s="1"/>
      <c r="F35" s="1"/>
      <c r="G35" s="1"/>
      <c r="H35" s="1"/>
      <c r="I35" s="352"/>
      <c r="J35" s="1"/>
      <c r="K35" s="1"/>
      <c r="L35" s="1"/>
      <c r="M35" s="1"/>
      <c r="N35" s="1"/>
      <c r="O35" s="1"/>
      <c r="P35" s="1"/>
      <c r="Q35" s="1"/>
      <c r="R35" s="1"/>
      <c r="S35" s="1"/>
      <c r="T35" s="1"/>
      <c r="U35" s="1"/>
      <c r="V35" s="1"/>
      <c r="W35" s="1"/>
    </row>
    <row r="36" spans="1:23">
      <c r="A36" s="231" t="s">
        <v>342</v>
      </c>
      <c r="B36" s="232">
        <f>SUM(B16:B35)</f>
        <v>167.73540423303982</v>
      </c>
      <c r="C36" s="233">
        <f>AVERAGE(C15:C35)</f>
        <v>0.10894736842105264</v>
      </c>
      <c r="D36" s="234">
        <f>SUM(D16:D35)</f>
        <v>148.82596554390005</v>
      </c>
      <c r="E36" s="1"/>
      <c r="F36" s="1"/>
      <c r="G36" s="1"/>
      <c r="H36" s="1"/>
      <c r="I36" s="352"/>
      <c r="J36" s="1"/>
      <c r="K36" s="1"/>
      <c r="L36" s="1"/>
      <c r="M36" s="1"/>
      <c r="N36" s="1"/>
      <c r="O36" s="1"/>
      <c r="P36" s="1"/>
      <c r="Q36" s="1"/>
      <c r="R36" s="1"/>
      <c r="S36" s="1"/>
      <c r="T36" s="1"/>
      <c r="U36" s="1"/>
      <c r="V36" s="1"/>
      <c r="W36" s="1"/>
    </row>
    <row r="37" spans="1:23">
      <c r="A37" s="351"/>
      <c r="B37" s="1"/>
      <c r="C37" s="1"/>
      <c r="D37" s="1"/>
      <c r="E37" s="1"/>
      <c r="F37" s="1"/>
      <c r="G37" s="1"/>
      <c r="H37" s="235"/>
      <c r="I37" s="352"/>
      <c r="J37" s="1"/>
      <c r="K37" s="1"/>
      <c r="L37" s="1"/>
      <c r="M37" s="1"/>
      <c r="N37" s="1"/>
      <c r="O37" s="1"/>
      <c r="P37" s="1"/>
      <c r="Q37" s="1"/>
      <c r="R37" s="1"/>
      <c r="S37" s="1"/>
      <c r="T37" s="1"/>
      <c r="U37" s="1"/>
      <c r="V37" s="1"/>
      <c r="W37" s="1"/>
    </row>
    <row r="38" spans="1:23">
      <c r="A38" s="236" t="s">
        <v>343</v>
      </c>
      <c r="D38" s="1"/>
      <c r="E38" s="1"/>
      <c r="F38" s="1"/>
      <c r="G38" s="1"/>
      <c r="H38" s="235"/>
      <c r="I38" s="352"/>
      <c r="J38" s="1"/>
      <c r="K38" s="1"/>
      <c r="L38" s="1"/>
      <c r="M38" s="1"/>
      <c r="N38" s="1"/>
      <c r="O38" s="1"/>
      <c r="P38" s="1"/>
      <c r="Q38" s="1"/>
      <c r="R38" s="1"/>
      <c r="S38" s="1"/>
      <c r="T38" s="1"/>
      <c r="U38" s="1"/>
      <c r="V38" s="1"/>
      <c r="W38" s="1"/>
    </row>
    <row r="39" spans="1:23" ht="15.75" customHeight="1">
      <c r="A39" s="338" t="s">
        <v>344</v>
      </c>
      <c r="B39" s="338" t="s">
        <v>310</v>
      </c>
      <c r="C39" s="339" t="s">
        <v>345</v>
      </c>
      <c r="D39" s="1"/>
      <c r="E39" s="1"/>
      <c r="F39" s="1"/>
      <c r="G39" s="1"/>
      <c r="H39" s="237"/>
      <c r="I39" s="352"/>
      <c r="J39" s="1"/>
      <c r="K39" s="1"/>
      <c r="L39" s="1"/>
      <c r="M39" s="1"/>
      <c r="N39" s="1"/>
      <c r="O39" s="1"/>
      <c r="P39" s="1"/>
      <c r="Q39" s="1"/>
      <c r="R39" s="1"/>
      <c r="S39" s="1"/>
      <c r="T39" s="1"/>
      <c r="U39" s="1"/>
      <c r="V39" s="1"/>
      <c r="W39" s="1"/>
    </row>
    <row r="40" spans="1:23" ht="15.75" customHeight="1">
      <c r="A40" s="340" t="s">
        <v>346</v>
      </c>
      <c r="B40" s="341"/>
      <c r="C40" s="342">
        <v>8.4999999999999992E-2</v>
      </c>
      <c r="D40" s="1"/>
      <c r="E40" s="1"/>
      <c r="F40" s="1"/>
      <c r="G40" s="1"/>
      <c r="H40" s="1"/>
      <c r="I40" s="352"/>
      <c r="J40" s="1"/>
      <c r="K40" s="1"/>
      <c r="L40" s="1"/>
      <c r="M40" s="1"/>
      <c r="N40" s="1"/>
      <c r="O40" s="1"/>
      <c r="P40" s="1"/>
      <c r="Q40" s="1"/>
      <c r="R40" s="1"/>
      <c r="S40" s="1"/>
      <c r="T40" s="1"/>
      <c r="U40" s="1"/>
      <c r="V40" s="1"/>
      <c r="W40" s="1"/>
    </row>
    <row r="41" spans="1:23" ht="15.75" customHeight="1">
      <c r="A41" s="340" t="s">
        <v>347</v>
      </c>
      <c r="B41" s="341"/>
      <c r="C41" s="342">
        <v>0.1326</v>
      </c>
      <c r="D41" s="1"/>
      <c r="E41" s="1"/>
      <c r="F41" s="1"/>
      <c r="G41" s="1"/>
      <c r="H41" s="1"/>
      <c r="I41" s="352"/>
      <c r="J41" s="1"/>
      <c r="K41" s="1"/>
      <c r="L41" s="1"/>
      <c r="M41" s="1"/>
      <c r="N41" s="1"/>
      <c r="O41" s="1"/>
      <c r="P41" s="1"/>
      <c r="Q41" s="1"/>
      <c r="R41" s="1"/>
      <c r="S41" s="1"/>
      <c r="T41" s="1"/>
      <c r="U41" s="1"/>
      <c r="V41" s="1"/>
      <c r="W41" s="1"/>
    </row>
    <row r="42" spans="1:23" ht="15.75" customHeight="1">
      <c r="A42" s="340" t="s">
        <v>348</v>
      </c>
      <c r="B42" s="341"/>
      <c r="C42" s="342">
        <v>0.13599999999999998</v>
      </c>
      <c r="D42" s="1"/>
      <c r="E42" s="1"/>
      <c r="F42" s="1"/>
      <c r="G42" s="1"/>
      <c r="H42" s="1"/>
      <c r="I42" s="352"/>
      <c r="J42" s="1"/>
      <c r="K42" s="1"/>
      <c r="L42" s="1"/>
      <c r="M42" s="1"/>
      <c r="N42" s="1"/>
      <c r="O42" s="1"/>
      <c r="P42" s="1"/>
      <c r="Q42" s="1"/>
      <c r="R42" s="1"/>
      <c r="S42" s="1"/>
      <c r="T42" s="1"/>
      <c r="U42" s="1"/>
      <c r="V42" s="1"/>
      <c r="W42" s="1"/>
    </row>
    <row r="43" spans="1:23" ht="15.75" customHeight="1">
      <c r="A43" s="340" t="s">
        <v>349</v>
      </c>
      <c r="B43" s="341"/>
      <c r="C43" s="342">
        <v>0.1865</v>
      </c>
      <c r="D43" s="1"/>
      <c r="E43" s="1"/>
      <c r="F43" s="1"/>
      <c r="G43" s="1"/>
      <c r="H43" s="1"/>
      <c r="I43" s="352"/>
      <c r="J43" s="1"/>
      <c r="K43" s="1"/>
      <c r="L43" s="1"/>
      <c r="M43" s="1"/>
      <c r="N43" s="1"/>
      <c r="O43" s="1"/>
      <c r="P43" s="1"/>
      <c r="Q43" s="1"/>
      <c r="R43" s="1"/>
      <c r="S43" s="1"/>
      <c r="T43" s="1"/>
      <c r="U43" s="1"/>
      <c r="V43" s="1"/>
      <c r="W43" s="1"/>
    </row>
    <row r="44" spans="1:23" ht="15.75" customHeight="1">
      <c r="A44" s="340" t="s">
        <v>350</v>
      </c>
      <c r="B44" s="341"/>
      <c r="C44" s="342">
        <v>0.23900000000000002</v>
      </c>
      <c r="D44" s="1"/>
      <c r="E44" s="1"/>
      <c r="F44" s="1"/>
      <c r="G44" s="1"/>
      <c r="H44" s="1"/>
      <c r="I44" s="352"/>
      <c r="J44" s="1"/>
      <c r="K44" s="1"/>
      <c r="L44" s="1"/>
      <c r="M44" s="1"/>
      <c r="N44" s="1"/>
      <c r="O44" s="1"/>
      <c r="P44" s="1"/>
      <c r="Q44" s="1"/>
      <c r="R44" s="1"/>
      <c r="S44" s="1"/>
      <c r="T44" s="1"/>
      <c r="U44" s="1"/>
      <c r="V44" s="1"/>
      <c r="W44" s="1"/>
    </row>
    <row r="45" spans="1:23" ht="15.75" customHeight="1">
      <c r="A45" s="340" t="s">
        <v>351</v>
      </c>
      <c r="B45" s="341"/>
      <c r="C45" s="342">
        <v>0.11666666666666668</v>
      </c>
      <c r="D45" s="1"/>
      <c r="E45" s="1"/>
      <c r="F45" s="1"/>
      <c r="G45" s="1"/>
      <c r="H45" s="1"/>
      <c r="I45" s="352"/>
      <c r="J45" s="1"/>
      <c r="K45" s="1"/>
      <c r="L45" s="1"/>
      <c r="M45" s="1"/>
      <c r="N45" s="1"/>
      <c r="O45" s="1"/>
      <c r="P45" s="1"/>
      <c r="Q45" s="1"/>
      <c r="R45" s="1"/>
      <c r="S45" s="1"/>
      <c r="T45" s="1"/>
      <c r="U45" s="1"/>
      <c r="V45" s="1"/>
      <c r="W45" s="1"/>
    </row>
    <row r="46" spans="1:23" ht="15.75" customHeight="1">
      <c r="A46" s="340" t="s">
        <v>352</v>
      </c>
      <c r="B46" s="341"/>
      <c r="C46" s="342">
        <v>0.21333333333333335</v>
      </c>
      <c r="D46" s="1"/>
      <c r="E46" s="1"/>
      <c r="F46" s="1"/>
      <c r="G46" s="1"/>
      <c r="H46" s="1"/>
      <c r="I46" s="352"/>
      <c r="J46" s="1"/>
      <c r="K46" s="1"/>
      <c r="L46" s="1"/>
      <c r="M46" s="1"/>
      <c r="N46" s="1"/>
      <c r="O46" s="1"/>
      <c r="P46" s="1"/>
      <c r="Q46" s="1"/>
      <c r="R46" s="1"/>
      <c r="S46" s="1"/>
      <c r="T46" s="1"/>
      <c r="U46" s="1"/>
      <c r="V46" s="1"/>
      <c r="W46" s="1"/>
    </row>
    <row r="47" spans="1:23" ht="15.75" customHeight="1">
      <c r="A47" s="340" t="s">
        <v>353</v>
      </c>
      <c r="B47" s="341"/>
      <c r="C47" s="342">
        <v>0.10200000000000001</v>
      </c>
      <c r="D47" s="1"/>
      <c r="E47" s="1"/>
      <c r="F47" s="1"/>
      <c r="G47" s="1"/>
      <c r="H47" s="1"/>
      <c r="I47" s="352"/>
      <c r="J47" s="1"/>
      <c r="K47" s="1"/>
      <c r="L47" s="1"/>
      <c r="M47" s="1"/>
      <c r="N47" s="1"/>
      <c r="O47" s="1"/>
      <c r="P47" s="1"/>
      <c r="Q47" s="1"/>
      <c r="R47" s="1"/>
      <c r="S47" s="1"/>
      <c r="T47" s="1"/>
      <c r="U47" s="1"/>
      <c r="V47" s="1"/>
      <c r="W47" s="1"/>
    </row>
    <row r="48" spans="1:23" ht="15.75" customHeight="1">
      <c r="A48" s="340" t="s">
        <v>354</v>
      </c>
      <c r="B48" s="341"/>
      <c r="C48" s="342">
        <v>0.126</v>
      </c>
      <c r="D48" s="1"/>
      <c r="E48" s="1"/>
      <c r="F48" s="1"/>
      <c r="G48" s="1"/>
      <c r="H48" s="1"/>
      <c r="I48" s="352"/>
      <c r="J48" s="1"/>
      <c r="K48" s="1"/>
      <c r="L48" s="1"/>
      <c r="M48" s="1"/>
      <c r="N48" s="1"/>
      <c r="O48" s="1"/>
      <c r="P48" s="1"/>
      <c r="Q48" s="1"/>
      <c r="R48" s="1"/>
      <c r="S48" s="1"/>
      <c r="T48" s="1"/>
      <c r="U48" s="1"/>
      <c r="V48" s="1"/>
      <c r="W48" s="1"/>
    </row>
    <row r="49" spans="1:23" ht="15.75" customHeight="1">
      <c r="A49" s="340" t="s">
        <v>355</v>
      </c>
      <c r="B49" s="341"/>
      <c r="C49" s="342">
        <v>0.2</v>
      </c>
      <c r="D49" s="1"/>
      <c r="E49" s="1"/>
      <c r="F49" s="1"/>
      <c r="G49" s="1"/>
      <c r="H49" s="1"/>
      <c r="I49" s="352"/>
      <c r="J49" s="1"/>
      <c r="K49" s="1"/>
      <c r="L49" s="1"/>
      <c r="M49" s="1"/>
      <c r="N49" s="1"/>
      <c r="O49" s="1"/>
      <c r="P49" s="1"/>
      <c r="Q49" s="1"/>
      <c r="R49" s="1"/>
      <c r="S49" s="1"/>
      <c r="T49" s="1"/>
      <c r="U49" s="1"/>
      <c r="V49" s="1"/>
      <c r="W49" s="1"/>
    </row>
    <row r="50" spans="1:23" ht="15.75" customHeight="1">
      <c r="A50" s="343" t="s">
        <v>356</v>
      </c>
      <c r="B50" s="344"/>
      <c r="C50" s="345">
        <v>0.10385714285714287</v>
      </c>
      <c r="D50" s="1"/>
      <c r="E50" s="1"/>
      <c r="F50" s="1"/>
      <c r="G50" s="1"/>
      <c r="H50" s="1"/>
      <c r="I50" s="352"/>
      <c r="J50" s="1"/>
      <c r="K50" s="1"/>
      <c r="L50" s="1"/>
      <c r="M50" s="1"/>
      <c r="N50" s="1"/>
      <c r="O50" s="1"/>
      <c r="P50" s="1"/>
      <c r="Q50" s="1"/>
      <c r="R50" s="1"/>
      <c r="S50" s="1"/>
      <c r="T50" s="1"/>
      <c r="U50" s="1"/>
      <c r="V50" s="1"/>
      <c r="W50" s="1"/>
    </row>
    <row r="51" spans="1:23">
      <c r="B51" s="238"/>
      <c r="I51" s="434"/>
    </row>
    <row r="52" spans="1:23">
      <c r="A52" s="433"/>
      <c r="B52" s="238"/>
      <c r="I52" s="434"/>
    </row>
    <row r="53" spans="1:23">
      <c r="A53" s="433"/>
      <c r="B53" s="238"/>
      <c r="I53" s="434"/>
    </row>
    <row r="54" spans="1:23">
      <c r="A54" s="239"/>
      <c r="B54" s="240"/>
      <c r="C54" s="145"/>
      <c r="D54" s="145"/>
      <c r="E54" s="145"/>
      <c r="F54" s="145"/>
      <c r="G54" s="145"/>
      <c r="H54" s="145"/>
      <c r="I54" s="146"/>
    </row>
    <row r="55" spans="1:23">
      <c r="B55" s="238"/>
    </row>
    <row r="56" spans="1:23" ht="15.75" hidden="1" customHeight="1" outlineLevel="1">
      <c r="A56" s="241" t="s">
        <v>357</v>
      </c>
      <c r="B56" s="242"/>
      <c r="C56" s="242"/>
      <c r="D56" s="242"/>
      <c r="E56" s="242"/>
      <c r="F56" s="242"/>
      <c r="G56" s="242"/>
      <c r="H56" s="242"/>
      <c r="I56" s="242"/>
      <c r="J56" s="242"/>
      <c r="K56" s="242"/>
      <c r="L56" s="242"/>
      <c r="M56" s="242"/>
      <c r="N56" s="242"/>
      <c r="O56" s="242"/>
      <c r="P56" s="242"/>
      <c r="Q56" s="242"/>
      <c r="R56" s="242"/>
      <c r="S56" s="242"/>
      <c r="T56" s="242"/>
      <c r="U56" s="242"/>
      <c r="V56" s="243"/>
    </row>
    <row r="57" spans="1:23" ht="15.75" hidden="1" customHeight="1" outlineLevel="1">
      <c r="A57" s="475">
        <f>(A89/A59)^(1/30)</f>
        <v>1.1432931018864319</v>
      </c>
      <c r="B57" s="1"/>
      <c r="C57" s="1"/>
      <c r="D57" s="1"/>
      <c r="E57" s="1"/>
      <c r="F57" s="1"/>
      <c r="G57" s="1"/>
      <c r="H57" s="1"/>
      <c r="I57" s="1"/>
      <c r="J57" s="1"/>
      <c r="K57" s="1"/>
      <c r="L57" s="1"/>
      <c r="M57" s="1"/>
      <c r="N57" s="1"/>
      <c r="O57" s="1"/>
      <c r="P57" s="1"/>
      <c r="Q57" s="1"/>
      <c r="R57" s="1"/>
      <c r="S57" s="1"/>
      <c r="T57" s="1"/>
      <c r="U57" s="1"/>
      <c r="V57" s="476"/>
      <c r="W57" s="1"/>
    </row>
    <row r="58" spans="1:23" ht="15.75" hidden="1" customHeight="1" outlineLevel="1">
      <c r="A58" s="477" t="s">
        <v>317</v>
      </c>
      <c r="B58" s="32" t="str">
        <f>A16</f>
        <v>Raw material 1</v>
      </c>
      <c r="C58" s="32" t="str">
        <f>A17</f>
        <v>Raw material 2</v>
      </c>
      <c r="D58" s="32" t="str">
        <f>A18</f>
        <v>Raw material 3</v>
      </c>
      <c r="E58" s="32" t="str">
        <f>A19</f>
        <v>Other Raw Materials</v>
      </c>
      <c r="F58" s="32" t="str">
        <f>A20</f>
        <v>Energy</v>
      </c>
      <c r="G58" s="32" t="str">
        <f>A21</f>
        <v>Labor</v>
      </c>
      <c r="H58" s="32" t="str">
        <f>A22</f>
        <v>Other Variable Operating Expenses</v>
      </c>
      <c r="I58" s="32" t="str">
        <f>A23</f>
        <v>Fixed Operating Expenses</v>
      </c>
      <c r="J58" s="32" t="str">
        <f>A25</f>
        <v>Process Equipment 1</v>
      </c>
      <c r="K58" s="32" t="str">
        <f>A26</f>
        <v>Process Equipment 2</v>
      </c>
      <c r="L58" s="32" t="str">
        <f>A27</f>
        <v>Process Equipment 3</v>
      </c>
      <c r="M58" s="32" t="str">
        <f>A28</f>
        <v>Process Equipment 4</v>
      </c>
      <c r="N58" s="32" t="str">
        <f>A29</f>
        <v>Process Equipment 5</v>
      </c>
      <c r="O58" s="32" t="str">
        <f>A30</f>
        <v>Process Equipment 6</v>
      </c>
      <c r="P58" s="32" t="str">
        <f>A31</f>
        <v>Supporting Facilities/Infrastructure</v>
      </c>
      <c r="Q58" s="32" t="str">
        <f>A32</f>
        <v>Land</v>
      </c>
      <c r="R58" s="471" t="str">
        <f>A33</f>
        <v>Engineering &amp; Construction</v>
      </c>
      <c r="S58" s="471" t="str">
        <f>A34</f>
        <v>Contingency</v>
      </c>
      <c r="T58" s="471" t="str">
        <f>A35</f>
        <v>Cost of Capital</v>
      </c>
      <c r="U58" s="471" t="s">
        <v>245</v>
      </c>
      <c r="V58" s="476" t="str">
        <f t="shared" ref="V58:V89" si="2">INDEX(A58:U58,1,MATCH($G$30,$A$58:$U$58,0))</f>
        <v>Process Equipment 2</v>
      </c>
      <c r="W58" s="1"/>
    </row>
    <row r="59" spans="1:23" ht="15.75" hidden="1" customHeight="1" outlineLevel="1">
      <c r="A59" s="477">
        <f>'3. Outputs'!B9</f>
        <v>1800</v>
      </c>
      <c r="B59" s="478">
        <f>B16*(A59/$A$59)^(-(-LOG(1-C16))/(LOG(2)))</f>
        <v>25</v>
      </c>
      <c r="C59" s="1">
        <f t="shared" ref="C59:C89" si="3">B$17*(A59/$A$59)^(-(-LOG(1-C$17))/(LOG(2)))</f>
        <v>5</v>
      </c>
      <c r="D59" s="32">
        <f t="shared" ref="D59:D89" si="4">B$18*(A59/$A$59)^(-(-LOG(1-C$18))/(LOG(2)))</f>
        <v>10</v>
      </c>
      <c r="E59" s="1">
        <f t="shared" ref="E59:E89" si="5">B$19*(A59/$A$59)^(-(-LOG(1-C$19))/(LOG(2)))</f>
        <v>30</v>
      </c>
      <c r="F59" s="244">
        <f t="shared" ref="F59:F89" si="6">B$20*(A59/$A$59)^(-(-LOG(1-C$20))/(LOG(2)))</f>
        <v>31.950000000000003</v>
      </c>
      <c r="G59" s="32">
        <f t="shared" ref="G59:G89" si="7">B$21*(A59/$A$59)^(-(-LOG(1-C$21))/(LOG(2)))</f>
        <v>22.0533</v>
      </c>
      <c r="H59" s="245">
        <f t="shared" ref="H59:H89" si="8">B$22*(A59/$A$59)^(-(-LOG(1-C$22))/(LOG(2)))</f>
        <v>12.0129</v>
      </c>
      <c r="I59" s="32">
        <f t="shared" ref="I59:I89" si="9">B$23*(A59/$A$59)^(-(-LOG(1-C$23))/(LOG(2)))</f>
        <v>10.593888888888889</v>
      </c>
      <c r="J59" s="32">
        <f t="shared" ref="J59:J89" si="10">B$25*(A59/$A$59)^(-(-LOG(1-C$25))/(LOG(2)))</f>
        <v>0.22222222222222221</v>
      </c>
      <c r="K59" s="32">
        <f t="shared" ref="K59:K89" si="11">B$26*(A59/$A$59)^(-(-LOG(1-C$26))/(LOG(2)))</f>
        <v>5.1851851851851851</v>
      </c>
      <c r="L59" s="32">
        <f t="shared" ref="L59:L89" si="12">B$27*(A59/$A$59)^(-(-LOG(1-C$27))/(LOG(2)))</f>
        <v>0.79629629629629628</v>
      </c>
      <c r="M59" s="32">
        <f t="shared" ref="M59:M89" si="13">B$28*(A59/$A$59)^(-(-LOG(1-C$28))/(LOG(2)))</f>
        <v>4.4444444444444446E-2</v>
      </c>
      <c r="N59" s="32">
        <f t="shared" ref="N59:N89" si="14">B$29*(A59/$A$59)^(-(-LOG(1-C$29))/(LOG(2)))</f>
        <v>5.1851851851851859E-3</v>
      </c>
      <c r="O59" s="32">
        <f t="shared" ref="O59:O89" si="15">B$30*(A59/$A$59)^(-(-LOG(1-C$30))/(LOG(2)))</f>
        <v>2.9629629629629631E-2</v>
      </c>
      <c r="P59" s="32">
        <f t="shared" ref="P59:P89" si="16">B$31*(A59/$A$59)^(-(-LOG(1-C$31))/(LOG(2)))</f>
        <v>2.5925925925925926</v>
      </c>
      <c r="Q59" s="471">
        <f t="shared" ref="Q59:Q89" si="17">B$32*(A59/$A$59)^(-(-LOG(1-C$32))/(LOG(2)))</f>
        <v>5.37037037037037E-3</v>
      </c>
      <c r="R59" s="471">
        <f t="shared" ref="R59:R89" si="18">B$33*(A59/$A$59)^(-(-LOG(1-C$33))/(LOG(2)))</f>
        <v>4.6493925925925925</v>
      </c>
      <c r="S59" s="471">
        <f t="shared" ref="S59:S89" si="19">B$34*(A59/$A$59)^(-(-LOG(1-C$34))/(LOG(2)))</f>
        <v>4.083925925925926</v>
      </c>
      <c r="T59" s="245">
        <f t="shared" ref="T59:T89" si="20">B$35*(A59/$A$59)^(-(-LOG(1-C$35))/(LOG(2)))</f>
        <v>3.5110708997064419</v>
      </c>
      <c r="U59" s="246">
        <f t="shared" ref="U59:U89" si="21">SUM(B59:T59)</f>
        <v>167.73540423303982</v>
      </c>
      <c r="V59" s="476">
        <f t="shared" si="2"/>
        <v>5.1851851851851851</v>
      </c>
      <c r="W59" s="1"/>
    </row>
    <row r="60" spans="1:23" ht="15.75" hidden="1" customHeight="1" outlineLevel="1">
      <c r="A60" s="247">
        <f t="shared" ref="A60:A88" si="22">A59*A$57</f>
        <v>2057.9275833955771</v>
      </c>
      <c r="B60" s="478">
        <f t="shared" ref="B60:B89" si="23">$B$16*(A60/$A$59)^(-(-LOG(1-$C$16))/(LOG(2)))</f>
        <v>25</v>
      </c>
      <c r="C60" s="1">
        <f t="shared" si="3"/>
        <v>5</v>
      </c>
      <c r="D60" s="32">
        <f t="shared" si="4"/>
        <v>10</v>
      </c>
      <c r="E60" s="1">
        <f t="shared" si="5"/>
        <v>30</v>
      </c>
      <c r="F60" s="244">
        <f t="shared" si="6"/>
        <v>31.950000000000003</v>
      </c>
      <c r="G60" s="32">
        <f t="shared" si="7"/>
        <v>22.0533</v>
      </c>
      <c r="H60" s="245">
        <f t="shared" si="8"/>
        <v>11.363452056920597</v>
      </c>
      <c r="I60" s="32">
        <f t="shared" si="9"/>
        <v>10.021156297416336</v>
      </c>
      <c r="J60" s="32">
        <f t="shared" si="10"/>
        <v>0.21680125850048262</v>
      </c>
      <c r="K60" s="32">
        <f t="shared" si="11"/>
        <v>5.0586960316779281</v>
      </c>
      <c r="L60" s="32">
        <f t="shared" si="12"/>
        <v>0.77687117629339608</v>
      </c>
      <c r="M60" s="32">
        <f t="shared" si="13"/>
        <v>4.3360251700096532E-2</v>
      </c>
      <c r="N60" s="32">
        <f t="shared" si="14"/>
        <v>5.0586960316779291E-3</v>
      </c>
      <c r="O60" s="32">
        <f t="shared" si="15"/>
        <v>2.8906834466731021E-2</v>
      </c>
      <c r="P60" s="32">
        <f t="shared" si="16"/>
        <v>2.4524304396984409</v>
      </c>
      <c r="Q60" s="471">
        <f t="shared" si="17"/>
        <v>5.37037037037037E-3</v>
      </c>
      <c r="R60" s="471">
        <f t="shared" si="18"/>
        <v>4.3980345977846884</v>
      </c>
      <c r="S60" s="471">
        <f t="shared" si="19"/>
        <v>3.8631384980541181</v>
      </c>
      <c r="T60" s="245">
        <f t="shared" si="20"/>
        <v>3.4403249638202484</v>
      </c>
      <c r="U60" s="246">
        <f t="shared" si="21"/>
        <v>165.67690147273512</v>
      </c>
      <c r="V60" s="476">
        <f t="shared" si="2"/>
        <v>5.0586960316779281</v>
      </c>
      <c r="W60" s="1"/>
    </row>
    <row r="61" spans="1:23" ht="15.75" hidden="1" customHeight="1" outlineLevel="1">
      <c r="A61" s="247">
        <f t="shared" si="22"/>
        <v>2352.8144102779779</v>
      </c>
      <c r="B61" s="478">
        <f t="shared" si="23"/>
        <v>25</v>
      </c>
      <c r="C61" s="1">
        <f t="shared" si="3"/>
        <v>5</v>
      </c>
      <c r="D61" s="32">
        <f t="shared" si="4"/>
        <v>10</v>
      </c>
      <c r="E61" s="1">
        <f t="shared" si="5"/>
        <v>30</v>
      </c>
      <c r="F61" s="244">
        <f t="shared" si="6"/>
        <v>31.950000000000003</v>
      </c>
      <c r="G61" s="32">
        <f t="shared" si="7"/>
        <v>22.0533</v>
      </c>
      <c r="H61" s="245">
        <f t="shared" si="8"/>
        <v>10.749114922286287</v>
      </c>
      <c r="I61" s="32">
        <f t="shared" si="9"/>
        <v>9.4793870872643957</v>
      </c>
      <c r="J61" s="32">
        <f t="shared" si="10"/>
        <v>0.21151253559326896</v>
      </c>
      <c r="K61" s="32">
        <f t="shared" si="11"/>
        <v>4.9352924971762757</v>
      </c>
      <c r="L61" s="32">
        <f t="shared" si="12"/>
        <v>0.75791991920921375</v>
      </c>
      <c r="M61" s="32">
        <f t="shared" si="13"/>
        <v>4.2302507118653798E-2</v>
      </c>
      <c r="N61" s="32">
        <f t="shared" si="14"/>
        <v>4.9352924971762767E-3</v>
      </c>
      <c r="O61" s="32">
        <f t="shared" si="15"/>
        <v>2.8201671412435864E-2</v>
      </c>
      <c r="P61" s="32">
        <f t="shared" si="16"/>
        <v>2.3198458094586591</v>
      </c>
      <c r="Q61" s="471">
        <f t="shared" si="17"/>
        <v>5.37037037037037E-3</v>
      </c>
      <c r="R61" s="471">
        <f t="shared" si="18"/>
        <v>4.1602656558037081</v>
      </c>
      <c r="S61" s="471">
        <f t="shared" si="19"/>
        <v>3.6542874003681218</v>
      </c>
      <c r="T61" s="245">
        <f t="shared" si="20"/>
        <v>3.3710045153672001</v>
      </c>
      <c r="U61" s="246">
        <f t="shared" si="21"/>
        <v>163.72274018392574</v>
      </c>
      <c r="V61" s="476">
        <f t="shared" si="2"/>
        <v>4.9352924971762757</v>
      </c>
      <c r="W61" s="1"/>
    </row>
    <row r="62" spans="1:23" ht="15.75" hidden="1" customHeight="1" outlineLevel="1">
      <c r="A62" s="247">
        <f t="shared" si="22"/>
        <v>2689.9564852898052</v>
      </c>
      <c r="B62" s="478">
        <f t="shared" si="23"/>
        <v>25</v>
      </c>
      <c r="C62" s="1">
        <f t="shared" si="3"/>
        <v>5</v>
      </c>
      <c r="D62" s="32">
        <f t="shared" si="4"/>
        <v>10</v>
      </c>
      <c r="E62" s="1">
        <f t="shared" si="5"/>
        <v>30</v>
      </c>
      <c r="F62" s="244">
        <f t="shared" si="6"/>
        <v>31.950000000000003</v>
      </c>
      <c r="G62" s="32">
        <f t="shared" si="7"/>
        <v>22.0533</v>
      </c>
      <c r="H62" s="245">
        <f t="shared" si="8"/>
        <v>10.167990416446486</v>
      </c>
      <c r="I62" s="32">
        <f t="shared" si="9"/>
        <v>8.9669072992467367</v>
      </c>
      <c r="J62" s="32">
        <f t="shared" si="10"/>
        <v>0.20635282757361981</v>
      </c>
      <c r="K62" s="32">
        <f t="shared" si="11"/>
        <v>4.8148993100511293</v>
      </c>
      <c r="L62" s="32">
        <f t="shared" si="12"/>
        <v>0.73943096547213771</v>
      </c>
      <c r="M62" s="32">
        <f t="shared" si="13"/>
        <v>4.1270565514723967E-2</v>
      </c>
      <c r="N62" s="32">
        <f t="shared" si="14"/>
        <v>4.8148993100511298E-3</v>
      </c>
      <c r="O62" s="32">
        <f t="shared" si="15"/>
        <v>2.7513710343149311E-2</v>
      </c>
      <c r="P62" s="32">
        <f t="shared" si="16"/>
        <v>2.1944290417161243</v>
      </c>
      <c r="Q62" s="471">
        <f t="shared" si="17"/>
        <v>5.37037037037037E-3</v>
      </c>
      <c r="R62" s="471">
        <f t="shared" si="18"/>
        <v>3.9353511078739323</v>
      </c>
      <c r="S62" s="471">
        <f t="shared" si="19"/>
        <v>3.4567273244838592</v>
      </c>
      <c r="T62" s="245">
        <f t="shared" si="20"/>
        <v>3.3030808316454681</v>
      </c>
      <c r="U62" s="246">
        <f t="shared" si="21"/>
        <v>161.86743867004782</v>
      </c>
      <c r="V62" s="476">
        <f t="shared" si="2"/>
        <v>4.8148993100511293</v>
      </c>
      <c r="W62" s="1"/>
    </row>
    <row r="63" spans="1:23" ht="15.75" hidden="1" customHeight="1" outlineLevel="1">
      <c r="A63" s="247">
        <f t="shared" si="22"/>
        <v>3075.4086940065054</v>
      </c>
      <c r="B63" s="478">
        <f t="shared" si="23"/>
        <v>25</v>
      </c>
      <c r="C63" s="1">
        <f t="shared" si="3"/>
        <v>5</v>
      </c>
      <c r="D63" s="32">
        <f t="shared" si="4"/>
        <v>10</v>
      </c>
      <c r="E63" s="1">
        <f t="shared" si="5"/>
        <v>30</v>
      </c>
      <c r="F63" s="244">
        <f t="shared" si="6"/>
        <v>31.950000000000003</v>
      </c>
      <c r="G63" s="32">
        <f t="shared" si="7"/>
        <v>22.0533</v>
      </c>
      <c r="H63" s="245">
        <f t="shared" si="8"/>
        <v>9.6182829801727916</v>
      </c>
      <c r="I63" s="32">
        <f t="shared" si="9"/>
        <v>8.4821334726703501</v>
      </c>
      <c r="J63" s="32">
        <f t="shared" si="10"/>
        <v>0.20131898720892244</v>
      </c>
      <c r="K63" s="32">
        <f t="shared" si="11"/>
        <v>4.6974430348748566</v>
      </c>
      <c r="L63" s="32">
        <f t="shared" si="12"/>
        <v>0.7213930374986387</v>
      </c>
      <c r="M63" s="32">
        <f t="shared" si="13"/>
        <v>4.0263797441784488E-2</v>
      </c>
      <c r="N63" s="32">
        <f t="shared" si="14"/>
        <v>4.6974430348748581E-3</v>
      </c>
      <c r="O63" s="32">
        <f t="shared" si="15"/>
        <v>2.6842531627856329E-2</v>
      </c>
      <c r="P63" s="32">
        <f t="shared" si="16"/>
        <v>2.0757926235842623</v>
      </c>
      <c r="Q63" s="471">
        <f t="shared" si="17"/>
        <v>5.37037037037037E-3</v>
      </c>
      <c r="R63" s="471">
        <f t="shared" si="18"/>
        <v>3.7225960127425335</v>
      </c>
      <c r="S63" s="471">
        <f t="shared" si="19"/>
        <v>3.2698478490306035</v>
      </c>
      <c r="T63" s="245">
        <f t="shared" si="20"/>
        <v>3.2365257686981366</v>
      </c>
      <c r="U63" s="246">
        <f t="shared" si="21"/>
        <v>160.10580790895597</v>
      </c>
      <c r="V63" s="476">
        <f t="shared" si="2"/>
        <v>4.6974430348748566</v>
      </c>
      <c r="W63" s="1"/>
    </row>
    <row r="64" spans="1:23" ht="15.75" hidden="1" customHeight="1" outlineLevel="1">
      <c r="A64" s="247">
        <f t="shared" si="22"/>
        <v>3516.093545339198</v>
      </c>
      <c r="B64" s="478">
        <f t="shared" si="23"/>
        <v>25</v>
      </c>
      <c r="C64" s="1">
        <f t="shared" si="3"/>
        <v>5</v>
      </c>
      <c r="D64" s="32">
        <f t="shared" si="4"/>
        <v>10</v>
      </c>
      <c r="E64" s="1">
        <f t="shared" si="5"/>
        <v>30</v>
      </c>
      <c r="F64" s="244">
        <f t="shared" si="6"/>
        <v>31.950000000000003</v>
      </c>
      <c r="G64" s="32">
        <f t="shared" si="7"/>
        <v>22.0533</v>
      </c>
      <c r="H64" s="245">
        <f t="shared" si="8"/>
        <v>9.0982941267378283</v>
      </c>
      <c r="I64" s="32">
        <f t="shared" si="9"/>
        <v>8.0235677527566978</v>
      </c>
      <c r="J64" s="32">
        <f t="shared" si="10"/>
        <v>0.19640794404121631</v>
      </c>
      <c r="K64" s="32">
        <f t="shared" si="11"/>
        <v>4.5828520276283813</v>
      </c>
      <c r="L64" s="32">
        <f t="shared" si="12"/>
        <v>0.70379513281435846</v>
      </c>
      <c r="M64" s="32">
        <f t="shared" si="13"/>
        <v>3.928158880824327E-2</v>
      </c>
      <c r="N64" s="32">
        <f t="shared" si="14"/>
        <v>4.5828520276283815E-3</v>
      </c>
      <c r="O64" s="32">
        <f t="shared" si="15"/>
        <v>2.6187725872162178E-2</v>
      </c>
      <c r="P64" s="32">
        <f t="shared" si="16"/>
        <v>1.963569992109248</v>
      </c>
      <c r="Q64" s="471">
        <f t="shared" si="17"/>
        <v>5.37037037037037E-3</v>
      </c>
      <c r="R64" s="471">
        <f t="shared" si="18"/>
        <v>3.5213429994492214</v>
      </c>
      <c r="S64" s="471">
        <f t="shared" si="19"/>
        <v>3.0930715535702622</v>
      </c>
      <c r="T64" s="245">
        <f t="shared" si="20"/>
        <v>3.1713117496518461</v>
      </c>
      <c r="U64" s="246">
        <f t="shared" si="21"/>
        <v>158.43293581583745</v>
      </c>
      <c r="V64" s="476">
        <f t="shared" si="2"/>
        <v>4.5828520276283813</v>
      </c>
      <c r="W64" s="1"/>
    </row>
    <row r="65" spans="1:23" ht="15.75" hidden="1" customHeight="1" outlineLevel="1">
      <c r="A65" s="247">
        <f t="shared" si="22"/>
        <v>4019.9254959737132</v>
      </c>
      <c r="B65" s="478">
        <f t="shared" si="23"/>
        <v>25</v>
      </c>
      <c r="C65" s="1">
        <f t="shared" si="3"/>
        <v>5</v>
      </c>
      <c r="D65" s="32">
        <f t="shared" si="4"/>
        <v>10</v>
      </c>
      <c r="E65" s="1">
        <f t="shared" si="5"/>
        <v>30</v>
      </c>
      <c r="F65" s="244">
        <f t="shared" si="6"/>
        <v>31.950000000000003</v>
      </c>
      <c r="G65" s="32">
        <f t="shared" si="7"/>
        <v>22.0533</v>
      </c>
      <c r="H65" s="245">
        <f t="shared" si="8"/>
        <v>8.6064171939288237</v>
      </c>
      <c r="I65" s="32">
        <f t="shared" si="9"/>
        <v>7.5897932625681435</v>
      </c>
      <c r="J65" s="32">
        <f t="shared" si="10"/>
        <v>0.1916167025143263</v>
      </c>
      <c r="K65" s="32">
        <f t="shared" si="11"/>
        <v>4.4710563920009472</v>
      </c>
      <c r="L65" s="32">
        <f t="shared" si="12"/>
        <v>0.68662651734300262</v>
      </c>
      <c r="M65" s="32">
        <f t="shared" si="13"/>
        <v>3.8323340502865268E-2</v>
      </c>
      <c r="N65" s="32">
        <f t="shared" si="14"/>
        <v>4.4710563920009484E-3</v>
      </c>
      <c r="O65" s="32">
        <f t="shared" si="15"/>
        <v>2.5548893668576843E-2</v>
      </c>
      <c r="P65" s="32">
        <f t="shared" si="16"/>
        <v>1.8574144016633281</v>
      </c>
      <c r="Q65" s="471">
        <f t="shared" si="17"/>
        <v>5.37037037037037E-3</v>
      </c>
      <c r="R65" s="471">
        <f t="shared" si="18"/>
        <v>3.3309702361806219</v>
      </c>
      <c r="S65" s="471">
        <f t="shared" si="19"/>
        <v>2.9258522344829787</v>
      </c>
      <c r="T65" s="245">
        <f t="shared" si="20"/>
        <v>3.1074117532904051</v>
      </c>
      <c r="U65" s="246">
        <f t="shared" si="21"/>
        <v>156.84417235490639</v>
      </c>
      <c r="V65" s="476">
        <f t="shared" si="2"/>
        <v>4.4710563920009472</v>
      </c>
      <c r="W65" s="1"/>
    </row>
    <row r="66" spans="1:23" ht="15.75" hidden="1" customHeight="1" outlineLevel="1">
      <c r="A66" s="247">
        <f t="shared" si="22"/>
        <v>4595.9530896441393</v>
      </c>
      <c r="B66" s="478">
        <f t="shared" si="23"/>
        <v>25</v>
      </c>
      <c r="C66" s="1">
        <f t="shared" si="3"/>
        <v>5</v>
      </c>
      <c r="D66" s="32">
        <f t="shared" si="4"/>
        <v>10</v>
      </c>
      <c r="E66" s="1">
        <f t="shared" si="5"/>
        <v>30</v>
      </c>
      <c r="F66" s="244">
        <f t="shared" si="6"/>
        <v>31.950000000000003</v>
      </c>
      <c r="G66" s="32">
        <f t="shared" si="7"/>
        <v>22.0533</v>
      </c>
      <c r="H66" s="245">
        <f t="shared" si="8"/>
        <v>8.1411323797806734</v>
      </c>
      <c r="I66" s="32">
        <f t="shared" si="9"/>
        <v>7.1794697251398114</v>
      </c>
      <c r="J66" s="32">
        <f t="shared" si="10"/>
        <v>0.18694234014668346</v>
      </c>
      <c r="K66" s="32">
        <f t="shared" si="11"/>
        <v>4.3619879367559475</v>
      </c>
      <c r="L66" s="32">
        <f t="shared" si="12"/>
        <v>0.66987671885894906</v>
      </c>
      <c r="M66" s="32">
        <f t="shared" si="13"/>
        <v>3.7388468029336694E-2</v>
      </c>
      <c r="N66" s="32">
        <f t="shared" si="14"/>
        <v>4.3619879367559483E-3</v>
      </c>
      <c r="O66" s="32">
        <f t="shared" si="15"/>
        <v>2.4925645352891133E-2</v>
      </c>
      <c r="P66" s="32">
        <f t="shared" si="16"/>
        <v>1.7569978525697443</v>
      </c>
      <c r="Q66" s="471">
        <f t="shared" si="17"/>
        <v>5.37037037037037E-3</v>
      </c>
      <c r="R66" s="471">
        <f t="shared" si="18"/>
        <v>3.1508895089335605</v>
      </c>
      <c r="S66" s="471">
        <f t="shared" si="19"/>
        <v>2.767673217306506</v>
      </c>
      <c r="T66" s="245">
        <f t="shared" si="20"/>
        <v>3.0447993028586389</v>
      </c>
      <c r="U66" s="246">
        <f t="shared" si="21"/>
        <v>155.33511545403994</v>
      </c>
      <c r="V66" s="476">
        <f t="shared" si="2"/>
        <v>4.3619879367559475</v>
      </c>
      <c r="W66" s="1"/>
    </row>
    <row r="67" spans="1:23" ht="15.75" hidden="1" customHeight="1" outlineLevel="1">
      <c r="A67" s="247">
        <f t="shared" si="22"/>
        <v>5254.5214639837777</v>
      </c>
      <c r="B67" s="478">
        <f t="shared" si="23"/>
        <v>25</v>
      </c>
      <c r="C67" s="1">
        <f t="shared" si="3"/>
        <v>5</v>
      </c>
      <c r="D67" s="32">
        <f t="shared" si="4"/>
        <v>10</v>
      </c>
      <c r="E67" s="1">
        <f t="shared" si="5"/>
        <v>30</v>
      </c>
      <c r="F67" s="244">
        <f t="shared" si="6"/>
        <v>31.950000000000003</v>
      </c>
      <c r="G67" s="32">
        <f t="shared" si="7"/>
        <v>22.0533</v>
      </c>
      <c r="H67" s="245">
        <f t="shared" si="8"/>
        <v>7.7010020466899389</v>
      </c>
      <c r="I67" s="32">
        <f t="shared" si="9"/>
        <v>6.7913293222901334</v>
      </c>
      <c r="J67" s="32">
        <f t="shared" si="10"/>
        <v>0.18238200574871824</v>
      </c>
      <c r="K67" s="32">
        <f t="shared" si="11"/>
        <v>4.2555801341367596</v>
      </c>
      <c r="L67" s="32">
        <f t="shared" si="12"/>
        <v>0.65353552059957376</v>
      </c>
      <c r="M67" s="32">
        <f t="shared" si="13"/>
        <v>3.6476401149743654E-2</v>
      </c>
      <c r="N67" s="32">
        <f t="shared" si="14"/>
        <v>4.25558013413676E-3</v>
      </c>
      <c r="O67" s="32">
        <f t="shared" si="15"/>
        <v>2.4317600766495768E-2</v>
      </c>
      <c r="P67" s="32">
        <f t="shared" si="16"/>
        <v>1.6620100776489215</v>
      </c>
      <c r="Q67" s="471">
        <f t="shared" si="17"/>
        <v>5.37037037037037E-3</v>
      </c>
      <c r="R67" s="471">
        <f t="shared" si="18"/>
        <v>2.9805444040506952</v>
      </c>
      <c r="S67" s="471">
        <f t="shared" si="19"/>
        <v>2.6180457603148</v>
      </c>
      <c r="T67" s="245">
        <f t="shared" si="20"/>
        <v>2.9834484550918301</v>
      </c>
      <c r="U67" s="246">
        <f t="shared" si="21"/>
        <v>153.90159767899209</v>
      </c>
      <c r="V67" s="476">
        <f t="shared" si="2"/>
        <v>4.2555801341367596</v>
      </c>
      <c r="W67" s="1"/>
    </row>
    <row r="68" spans="1:23" ht="15.75" hidden="1" customHeight="1" outlineLevel="1">
      <c r="A68" s="247">
        <f t="shared" si="22"/>
        <v>6007.4581434868478</v>
      </c>
      <c r="B68" s="478">
        <f t="shared" si="23"/>
        <v>25</v>
      </c>
      <c r="C68" s="1">
        <f t="shared" si="3"/>
        <v>5</v>
      </c>
      <c r="D68" s="32">
        <f t="shared" si="4"/>
        <v>10</v>
      </c>
      <c r="E68" s="1">
        <f t="shared" si="5"/>
        <v>30</v>
      </c>
      <c r="F68" s="244">
        <f t="shared" si="6"/>
        <v>31.950000000000003</v>
      </c>
      <c r="G68" s="32">
        <f t="shared" si="7"/>
        <v>22.0533</v>
      </c>
      <c r="H68" s="245">
        <f t="shared" si="8"/>
        <v>7.2846662794003549</v>
      </c>
      <c r="I68" s="32">
        <f t="shared" si="9"/>
        <v>6.4241727773146353</v>
      </c>
      <c r="J68" s="32">
        <f t="shared" si="10"/>
        <v>0.17793291768373973</v>
      </c>
      <c r="K68" s="32">
        <f t="shared" si="11"/>
        <v>4.1517680792872609</v>
      </c>
      <c r="L68" s="32">
        <f t="shared" si="12"/>
        <v>0.63759295503340074</v>
      </c>
      <c r="M68" s="32">
        <f t="shared" si="13"/>
        <v>3.558658353674795E-2</v>
      </c>
      <c r="N68" s="32">
        <f t="shared" si="14"/>
        <v>4.1517680792872609E-3</v>
      </c>
      <c r="O68" s="32">
        <f t="shared" si="15"/>
        <v>2.3724389024498634E-2</v>
      </c>
      <c r="P68" s="32">
        <f t="shared" si="16"/>
        <v>1.5721575835545456</v>
      </c>
      <c r="Q68" s="471">
        <f t="shared" si="17"/>
        <v>5.37037037037037E-3</v>
      </c>
      <c r="R68" s="471">
        <f t="shared" si="18"/>
        <v>2.8194085890128986</v>
      </c>
      <c r="S68" s="471">
        <f t="shared" si="19"/>
        <v>2.4765075444032218</v>
      </c>
      <c r="T68" s="245">
        <f t="shared" si="20"/>
        <v>2.9233337894662119</v>
      </c>
      <c r="U68" s="246">
        <f t="shared" si="21"/>
        <v>152.53967362616712</v>
      </c>
      <c r="V68" s="476">
        <f t="shared" si="2"/>
        <v>4.1517680792872609</v>
      </c>
      <c r="W68" s="1"/>
    </row>
    <row r="69" spans="1:23" ht="15.75" hidden="1" customHeight="1" outlineLevel="1">
      <c r="A69" s="247">
        <f t="shared" si="22"/>
        <v>6868.2854553199832</v>
      </c>
      <c r="B69" s="478">
        <f t="shared" si="23"/>
        <v>25</v>
      </c>
      <c r="C69" s="1">
        <f t="shared" si="3"/>
        <v>5</v>
      </c>
      <c r="D69" s="32">
        <f t="shared" si="4"/>
        <v>10</v>
      </c>
      <c r="E69" s="1">
        <f t="shared" si="5"/>
        <v>30</v>
      </c>
      <c r="F69" s="244">
        <f t="shared" si="6"/>
        <v>31.950000000000003</v>
      </c>
      <c r="G69" s="32">
        <f t="shared" si="7"/>
        <v>22.0533</v>
      </c>
      <c r="H69" s="245">
        <f t="shared" si="8"/>
        <v>6.8908386831349695</v>
      </c>
      <c r="I69" s="32">
        <f t="shared" si="9"/>
        <v>6.0768656494592728</v>
      </c>
      <c r="J69" s="32">
        <f t="shared" si="10"/>
        <v>0.173592362171239</v>
      </c>
      <c r="K69" s="32">
        <f t="shared" si="11"/>
        <v>4.0504884506622441</v>
      </c>
      <c r="L69" s="32">
        <f t="shared" si="12"/>
        <v>0.62203929778027311</v>
      </c>
      <c r="M69" s="32">
        <f t="shared" si="13"/>
        <v>3.4718472434247805E-2</v>
      </c>
      <c r="N69" s="32">
        <f t="shared" si="14"/>
        <v>4.0504884506622442E-3</v>
      </c>
      <c r="O69" s="32">
        <f t="shared" si="15"/>
        <v>2.3145648289498538E-2</v>
      </c>
      <c r="P69" s="32">
        <f t="shared" si="16"/>
        <v>1.487162743937452</v>
      </c>
      <c r="Q69" s="471">
        <f t="shared" si="17"/>
        <v>5.37037037037037E-3</v>
      </c>
      <c r="R69" s="471">
        <f t="shared" si="18"/>
        <v>2.666984186176379</v>
      </c>
      <c r="S69" s="471">
        <f t="shared" si="19"/>
        <v>2.3426212446143868</v>
      </c>
      <c r="T69" s="245">
        <f t="shared" si="20"/>
        <v>2.8644303976660597</v>
      </c>
      <c r="U69" s="246">
        <f t="shared" si="21"/>
        <v>151.24560799514708</v>
      </c>
      <c r="V69" s="476">
        <f t="shared" si="2"/>
        <v>4.0504884506622441</v>
      </c>
      <c r="W69" s="1"/>
    </row>
    <row r="70" spans="1:23" ht="15.75" hidden="1" customHeight="1" outlineLevel="1">
      <c r="A70" s="247">
        <f t="shared" si="22"/>
        <v>7852.4633828542474</v>
      </c>
      <c r="B70" s="478">
        <f t="shared" si="23"/>
        <v>25</v>
      </c>
      <c r="C70" s="1">
        <f t="shared" si="3"/>
        <v>5</v>
      </c>
      <c r="D70" s="32">
        <f t="shared" si="4"/>
        <v>10</v>
      </c>
      <c r="E70" s="1">
        <f t="shared" si="5"/>
        <v>30</v>
      </c>
      <c r="F70" s="244">
        <f t="shared" si="6"/>
        <v>31.950000000000003</v>
      </c>
      <c r="G70" s="32">
        <f t="shared" si="7"/>
        <v>22.0533</v>
      </c>
      <c r="H70" s="245">
        <f t="shared" si="8"/>
        <v>6.5183024088919472</v>
      </c>
      <c r="I70" s="32">
        <f t="shared" si="9"/>
        <v>5.7483348287239613</v>
      </c>
      <c r="J70" s="32">
        <f t="shared" si="10"/>
        <v>0.1693576916315829</v>
      </c>
      <c r="K70" s="32">
        <f t="shared" si="11"/>
        <v>3.951679471403601</v>
      </c>
      <c r="L70" s="32">
        <f t="shared" si="12"/>
        <v>0.60686506167983867</v>
      </c>
      <c r="M70" s="32">
        <f t="shared" si="13"/>
        <v>3.3871538326316578E-2</v>
      </c>
      <c r="N70" s="32">
        <f t="shared" si="14"/>
        <v>3.9516794714036015E-3</v>
      </c>
      <c r="O70" s="32">
        <f t="shared" si="15"/>
        <v>2.258102555087772E-2</v>
      </c>
      <c r="P70" s="32">
        <f t="shared" si="16"/>
        <v>1.4067629416353848</v>
      </c>
      <c r="Q70" s="471">
        <f t="shared" si="17"/>
        <v>5.37037037037037E-3</v>
      </c>
      <c r="R70" s="471">
        <f t="shared" si="18"/>
        <v>2.5228002344297105</v>
      </c>
      <c r="S70" s="471">
        <f t="shared" si="19"/>
        <v>2.215973178890962</v>
      </c>
      <c r="T70" s="245">
        <f t="shared" si="20"/>
        <v>2.8067138732630088</v>
      </c>
      <c r="U70" s="246">
        <f t="shared" si="21"/>
        <v>150.01586430426894</v>
      </c>
      <c r="V70" s="476">
        <f t="shared" si="2"/>
        <v>3.951679471403601</v>
      </c>
      <c r="W70" s="1"/>
    </row>
    <row r="71" spans="1:23" ht="15.75" hidden="1" customHeight="1" outlineLevel="1">
      <c r="A71" s="247">
        <f t="shared" si="22"/>
        <v>8977.6672184330564</v>
      </c>
      <c r="B71" s="478">
        <f t="shared" si="23"/>
        <v>25</v>
      </c>
      <c r="C71" s="1">
        <f t="shared" si="3"/>
        <v>5</v>
      </c>
      <c r="D71" s="32">
        <f t="shared" si="4"/>
        <v>10</v>
      </c>
      <c r="E71" s="1">
        <f t="shared" si="5"/>
        <v>30</v>
      </c>
      <c r="F71" s="244">
        <f t="shared" si="6"/>
        <v>31.950000000000003</v>
      </c>
      <c r="G71" s="32">
        <f t="shared" si="7"/>
        <v>22.0533</v>
      </c>
      <c r="H71" s="245">
        <f t="shared" si="8"/>
        <v>6.1659063936229943</v>
      </c>
      <c r="I71" s="32">
        <f t="shared" si="9"/>
        <v>5.437565220165955</v>
      </c>
      <c r="J71" s="32">
        <f t="shared" si="10"/>
        <v>0.16522632307108728</v>
      </c>
      <c r="K71" s="32">
        <f t="shared" si="11"/>
        <v>3.8552808716587035</v>
      </c>
      <c r="L71" s="32">
        <f t="shared" si="12"/>
        <v>0.59206099100472942</v>
      </c>
      <c r="M71" s="32">
        <f t="shared" si="13"/>
        <v>3.3045264614217459E-2</v>
      </c>
      <c r="N71" s="32">
        <f t="shared" si="14"/>
        <v>3.855280871658704E-3</v>
      </c>
      <c r="O71" s="32">
        <f t="shared" si="15"/>
        <v>2.2030176409478304E-2</v>
      </c>
      <c r="P71" s="32">
        <f t="shared" si="16"/>
        <v>1.330709757238159</v>
      </c>
      <c r="Q71" s="471">
        <f t="shared" si="17"/>
        <v>5.37037037037037E-3</v>
      </c>
      <c r="R71" s="471">
        <f t="shared" si="18"/>
        <v>2.3864112340176025</v>
      </c>
      <c r="S71" s="471">
        <f t="shared" si="19"/>
        <v>2.0961720298803264</v>
      </c>
      <c r="T71" s="245">
        <f t="shared" si="20"/>
        <v>2.7501603016033322</v>
      </c>
      <c r="U71" s="246">
        <f t="shared" si="21"/>
        <v>148.84709421452865</v>
      </c>
      <c r="V71" s="476">
        <f t="shared" si="2"/>
        <v>3.8552808716587035</v>
      </c>
      <c r="W71" s="1"/>
    </row>
    <row r="72" spans="1:23" ht="15.75" hidden="1" customHeight="1" outlineLevel="1">
      <c r="A72" s="247">
        <f t="shared" si="22"/>
        <v>10264.105001866463</v>
      </c>
      <c r="B72" s="478">
        <f t="shared" si="23"/>
        <v>25</v>
      </c>
      <c r="C72" s="1">
        <f t="shared" si="3"/>
        <v>5</v>
      </c>
      <c r="D72" s="32">
        <f t="shared" si="4"/>
        <v>10</v>
      </c>
      <c r="E72" s="1">
        <f t="shared" si="5"/>
        <v>30</v>
      </c>
      <c r="F72" s="244">
        <f t="shared" si="6"/>
        <v>31.950000000000003</v>
      </c>
      <c r="G72" s="32">
        <f t="shared" si="7"/>
        <v>22.0533</v>
      </c>
      <c r="H72" s="245">
        <f t="shared" si="8"/>
        <v>5.8325618036773035</v>
      </c>
      <c r="I72" s="32">
        <f t="shared" si="9"/>
        <v>5.1435966074582096</v>
      </c>
      <c r="J72" s="32">
        <f t="shared" si="10"/>
        <v>0.16119573650648575</v>
      </c>
      <c r="K72" s="32">
        <f t="shared" si="11"/>
        <v>3.7612338518180009</v>
      </c>
      <c r="L72" s="32">
        <f t="shared" si="12"/>
        <v>0.57761805581490722</v>
      </c>
      <c r="M72" s="32">
        <f t="shared" si="13"/>
        <v>3.223914730129715E-2</v>
      </c>
      <c r="N72" s="32">
        <f t="shared" si="14"/>
        <v>3.7612338518180012E-3</v>
      </c>
      <c r="O72" s="32">
        <f t="shared" si="15"/>
        <v>2.1492764867531433E-2</v>
      </c>
      <c r="P72" s="32">
        <f t="shared" si="16"/>
        <v>1.2587682015210537</v>
      </c>
      <c r="Q72" s="471">
        <f t="shared" si="17"/>
        <v>5.37037037037037E-3</v>
      </c>
      <c r="R72" s="471">
        <f t="shared" si="18"/>
        <v>2.257395770035191</v>
      </c>
      <c r="S72" s="471">
        <f t="shared" si="19"/>
        <v>1.9828476358417217</v>
      </c>
      <c r="T72" s="245">
        <f t="shared" si="20"/>
        <v>2.6947462498989783</v>
      </c>
      <c r="U72" s="246">
        <f t="shared" si="21"/>
        <v>147.73612742896287</v>
      </c>
      <c r="V72" s="476">
        <f t="shared" si="2"/>
        <v>3.7612338518180009</v>
      </c>
      <c r="W72" s="1"/>
    </row>
    <row r="73" spans="1:23" ht="15.75" hidden="1" customHeight="1" outlineLevel="1">
      <c r="A73" s="247">
        <f t="shared" si="22"/>
        <v>11734.880445671948</v>
      </c>
      <c r="B73" s="478">
        <f t="shared" si="23"/>
        <v>25</v>
      </c>
      <c r="C73" s="1">
        <f t="shared" si="3"/>
        <v>5</v>
      </c>
      <c r="D73" s="32">
        <f t="shared" si="4"/>
        <v>10</v>
      </c>
      <c r="E73" s="1">
        <f t="shared" si="5"/>
        <v>30</v>
      </c>
      <c r="F73" s="244">
        <f t="shared" si="6"/>
        <v>31.950000000000003</v>
      </c>
      <c r="G73" s="32">
        <f t="shared" si="7"/>
        <v>22.0533</v>
      </c>
      <c r="H73" s="245">
        <f t="shared" si="8"/>
        <v>5.5172386705219694</v>
      </c>
      <c r="I73" s="32">
        <f t="shared" si="9"/>
        <v>4.8655206860117701</v>
      </c>
      <c r="J73" s="32">
        <f t="shared" si="10"/>
        <v>0.15726347342783237</v>
      </c>
      <c r="K73" s="32">
        <f t="shared" si="11"/>
        <v>3.6694810466494219</v>
      </c>
      <c r="L73" s="32">
        <f t="shared" si="12"/>
        <v>0.56352744644973263</v>
      </c>
      <c r="M73" s="32">
        <f t="shared" si="13"/>
        <v>3.1452694685566475E-2</v>
      </c>
      <c r="N73" s="32">
        <f t="shared" si="14"/>
        <v>3.6694810466494227E-3</v>
      </c>
      <c r="O73" s="32">
        <f t="shared" si="15"/>
        <v>2.0968463123710986E-2</v>
      </c>
      <c r="P73" s="32">
        <f t="shared" si="16"/>
        <v>1.1907159893748105</v>
      </c>
      <c r="Q73" s="471">
        <f t="shared" si="17"/>
        <v>5.37037037037037E-3</v>
      </c>
      <c r="R73" s="471">
        <f t="shared" si="18"/>
        <v>2.1353552103397386</v>
      </c>
      <c r="S73" s="471">
        <f t="shared" si="19"/>
        <v>1.8756498469200407</v>
      </c>
      <c r="T73" s="245">
        <f t="shared" si="20"/>
        <v>2.6404487575182771</v>
      </c>
      <c r="U73" s="246">
        <f t="shared" si="21"/>
        <v>146.67996213643985</v>
      </c>
      <c r="V73" s="476">
        <f t="shared" si="2"/>
        <v>3.6694810466494219</v>
      </c>
      <c r="W73" s="1"/>
    </row>
    <row r="74" spans="1:23" ht="15.75" hidden="1" customHeight="1" outlineLevel="1">
      <c r="A74" s="247">
        <f t="shared" si="22"/>
        <v>13416.407864998715</v>
      </c>
      <c r="B74" s="478">
        <f t="shared" si="23"/>
        <v>25</v>
      </c>
      <c r="C74" s="1">
        <f t="shared" si="3"/>
        <v>5</v>
      </c>
      <c r="D74" s="32">
        <f t="shared" si="4"/>
        <v>10</v>
      </c>
      <c r="E74" s="1">
        <f t="shared" si="5"/>
        <v>30</v>
      </c>
      <c r="F74" s="244">
        <f t="shared" si="6"/>
        <v>31.950000000000003</v>
      </c>
      <c r="G74" s="32">
        <f t="shared" si="7"/>
        <v>22.0533</v>
      </c>
      <c r="H74" s="245">
        <f t="shared" si="8"/>
        <v>5.2189627083439243</v>
      </c>
      <c r="I74" s="32">
        <f t="shared" si="9"/>
        <v>4.6024782564951146</v>
      </c>
      <c r="J74" s="32">
        <f t="shared" si="10"/>
        <v>0.15342713529890073</v>
      </c>
      <c r="K74" s="32">
        <f t="shared" si="11"/>
        <v>3.5799664903076835</v>
      </c>
      <c r="L74" s="32">
        <f t="shared" si="12"/>
        <v>0.54978056815439424</v>
      </c>
      <c r="M74" s="32">
        <f t="shared" si="13"/>
        <v>3.0685427059780147E-2</v>
      </c>
      <c r="N74" s="32">
        <f t="shared" si="14"/>
        <v>3.5799664903076842E-3</v>
      </c>
      <c r="O74" s="32">
        <f t="shared" si="15"/>
        <v>2.0456951373186764E-2</v>
      </c>
      <c r="P74" s="32">
        <f t="shared" si="16"/>
        <v>1.1263428529888231</v>
      </c>
      <c r="Q74" s="471">
        <f t="shared" si="17"/>
        <v>5.37037037037037E-3</v>
      </c>
      <c r="R74" s="471">
        <f t="shared" si="18"/>
        <v>2.0199124738565386</v>
      </c>
      <c r="S74" s="471">
        <f t="shared" si="19"/>
        <v>1.7742474432523652</v>
      </c>
      <c r="T74" s="245">
        <f t="shared" si="20"/>
        <v>2.5872453264722717</v>
      </c>
      <c r="U74" s="246">
        <f t="shared" si="21"/>
        <v>145.67575597046368</v>
      </c>
      <c r="V74" s="476">
        <f t="shared" si="2"/>
        <v>3.5799664903076835</v>
      </c>
      <c r="W74" s="1"/>
    </row>
    <row r="75" spans="1:23" ht="15.75" hidden="1" customHeight="1" outlineLevel="1">
      <c r="A75" s="247">
        <f t="shared" si="22"/>
        <v>15338.886564147902</v>
      </c>
      <c r="B75" s="478">
        <f t="shared" si="23"/>
        <v>25</v>
      </c>
      <c r="C75" s="1">
        <f t="shared" si="3"/>
        <v>5</v>
      </c>
      <c r="D75" s="32">
        <f t="shared" si="4"/>
        <v>10</v>
      </c>
      <c r="E75" s="1">
        <f t="shared" si="5"/>
        <v>30</v>
      </c>
      <c r="F75" s="244">
        <f t="shared" si="6"/>
        <v>31.950000000000003</v>
      </c>
      <c r="G75" s="32">
        <f t="shared" si="7"/>
        <v>22.0533</v>
      </c>
      <c r="H75" s="245">
        <f t="shared" si="8"/>
        <v>4.9368123037004086</v>
      </c>
      <c r="I75" s="32">
        <f t="shared" si="9"/>
        <v>4.3536565700789751</v>
      </c>
      <c r="J75" s="32">
        <f t="shared" si="10"/>
        <v>0.14968438209416476</v>
      </c>
      <c r="K75" s="32">
        <f t="shared" si="11"/>
        <v>3.492635582197178</v>
      </c>
      <c r="L75" s="32">
        <f t="shared" si="12"/>
        <v>0.53636903583742379</v>
      </c>
      <c r="M75" s="32">
        <f t="shared" si="13"/>
        <v>2.9936876418832956E-2</v>
      </c>
      <c r="N75" s="32">
        <f t="shared" si="14"/>
        <v>3.4926355821971785E-3</v>
      </c>
      <c r="O75" s="32">
        <f t="shared" si="15"/>
        <v>1.9957917612555304E-2</v>
      </c>
      <c r="P75" s="32">
        <f t="shared" si="16"/>
        <v>1.0654498921653932</v>
      </c>
      <c r="Q75" s="471">
        <f t="shared" si="17"/>
        <v>5.37037037037037E-3</v>
      </c>
      <c r="R75" s="471">
        <f t="shared" si="18"/>
        <v>1.9107108654733371</v>
      </c>
      <c r="S75" s="471">
        <f t="shared" si="19"/>
        <v>1.6783271115644178</v>
      </c>
      <c r="T75" s="245">
        <f t="shared" si="20"/>
        <v>2.5351139120927542</v>
      </c>
      <c r="U75" s="246">
        <f t="shared" si="21"/>
        <v>144.72081745518801</v>
      </c>
      <c r="V75" s="476">
        <f t="shared" si="2"/>
        <v>3.492635582197178</v>
      </c>
      <c r="W75" s="1"/>
    </row>
    <row r="76" spans="1:23" ht="15.75" hidden="1" customHeight="1" outlineLevel="1">
      <c r="A76" s="247">
        <f t="shared" si="22"/>
        <v>17536.84319940877</v>
      </c>
      <c r="B76" s="478">
        <f t="shared" si="23"/>
        <v>25</v>
      </c>
      <c r="C76" s="1">
        <f t="shared" si="3"/>
        <v>5</v>
      </c>
      <c r="D76" s="32">
        <f t="shared" si="4"/>
        <v>10</v>
      </c>
      <c r="E76" s="1">
        <f t="shared" si="5"/>
        <v>30</v>
      </c>
      <c r="F76" s="244">
        <f t="shared" si="6"/>
        <v>31.950000000000003</v>
      </c>
      <c r="G76" s="32">
        <f t="shared" si="7"/>
        <v>22.0533</v>
      </c>
      <c r="H76" s="245">
        <f t="shared" si="8"/>
        <v>4.6699156679165998</v>
      </c>
      <c r="I76" s="32">
        <f t="shared" si="9"/>
        <v>4.1182868172039893</v>
      </c>
      <c r="J76" s="32">
        <f t="shared" si="10"/>
        <v>0.14603293087146918</v>
      </c>
      <c r="K76" s="32">
        <f t="shared" si="11"/>
        <v>3.4074350536676143</v>
      </c>
      <c r="L76" s="32">
        <f t="shared" si="12"/>
        <v>0.52328466895609793</v>
      </c>
      <c r="M76" s="32">
        <f t="shared" si="13"/>
        <v>2.9206586174293836E-2</v>
      </c>
      <c r="N76" s="32">
        <f t="shared" si="14"/>
        <v>3.4074350536676145E-3</v>
      </c>
      <c r="O76" s="32">
        <f t="shared" si="15"/>
        <v>1.9471057449529226E-2</v>
      </c>
      <c r="P76" s="32">
        <f t="shared" si="16"/>
        <v>1.0078489597576494</v>
      </c>
      <c r="Q76" s="471">
        <f t="shared" si="17"/>
        <v>5.37037037037037E-3</v>
      </c>
      <c r="R76" s="471">
        <f t="shared" si="18"/>
        <v>1.8074129739233264</v>
      </c>
      <c r="S76" s="471">
        <f t="shared" si="19"/>
        <v>1.5875924770948138</v>
      </c>
      <c r="T76" s="245">
        <f t="shared" si="20"/>
        <v>2.4840329138981274</v>
      </c>
      <c r="U76" s="246">
        <f t="shared" si="21"/>
        <v>143.81259791233754</v>
      </c>
      <c r="V76" s="476">
        <f t="shared" si="2"/>
        <v>3.4074350536676143</v>
      </c>
      <c r="W76" s="1"/>
    </row>
    <row r="77" spans="1:23" ht="15.75" hidden="1" customHeight="1" outlineLevel="1">
      <c r="A77" s="247">
        <f t="shared" si="22"/>
        <v>20049.75185874803</v>
      </c>
      <c r="B77" s="478">
        <f t="shared" si="23"/>
        <v>25</v>
      </c>
      <c r="C77" s="1">
        <f t="shared" si="3"/>
        <v>5</v>
      </c>
      <c r="D77" s="32">
        <f t="shared" si="4"/>
        <v>10</v>
      </c>
      <c r="E77" s="1">
        <f t="shared" si="5"/>
        <v>30</v>
      </c>
      <c r="F77" s="244">
        <f t="shared" si="6"/>
        <v>31.950000000000003</v>
      </c>
      <c r="G77" s="32">
        <f t="shared" si="7"/>
        <v>22.0533</v>
      </c>
      <c r="H77" s="245">
        <f t="shared" si="8"/>
        <v>4.4174481434318604</v>
      </c>
      <c r="I77" s="32">
        <f t="shared" si="9"/>
        <v>3.8956417521119495</v>
      </c>
      <c r="J77" s="32">
        <f t="shared" si="10"/>
        <v>0.14247055437951825</v>
      </c>
      <c r="K77" s="32">
        <f t="shared" si="11"/>
        <v>3.3243129355220926</v>
      </c>
      <c r="L77" s="32">
        <f t="shared" si="12"/>
        <v>0.51051948652660706</v>
      </c>
      <c r="M77" s="32">
        <f t="shared" si="13"/>
        <v>2.8494110875903655E-2</v>
      </c>
      <c r="N77" s="32">
        <f t="shared" si="14"/>
        <v>3.3243129355220932E-3</v>
      </c>
      <c r="O77" s="32">
        <f t="shared" si="15"/>
        <v>1.8996073917269103E-2</v>
      </c>
      <c r="P77" s="32">
        <f t="shared" si="16"/>
        <v>0.95336208033225467</v>
      </c>
      <c r="Q77" s="471">
        <f t="shared" si="17"/>
        <v>5.37037037037037E-3</v>
      </c>
      <c r="R77" s="471">
        <f t="shared" si="18"/>
        <v>1.7096996292513875</v>
      </c>
      <c r="S77" s="471">
        <f t="shared" si="19"/>
        <v>1.5017631878559485</v>
      </c>
      <c r="T77" s="245">
        <f t="shared" si="20"/>
        <v>2.4339811666433158</v>
      </c>
      <c r="U77" s="246">
        <f t="shared" si="21"/>
        <v>142.948683804154</v>
      </c>
      <c r="V77" s="476">
        <f t="shared" si="2"/>
        <v>3.3243129355220926</v>
      </c>
      <c r="W77" s="1"/>
    </row>
    <row r="78" spans="1:23" ht="15.75" hidden="1" customHeight="1" outlineLevel="1">
      <c r="A78" s="247">
        <f t="shared" si="22"/>
        <v>22922.742994641289</v>
      </c>
      <c r="B78" s="478">
        <f t="shared" si="23"/>
        <v>25</v>
      </c>
      <c r="C78" s="1">
        <f t="shared" si="3"/>
        <v>5</v>
      </c>
      <c r="D78" s="32">
        <f t="shared" si="4"/>
        <v>10</v>
      </c>
      <c r="E78" s="1">
        <f t="shared" si="5"/>
        <v>30</v>
      </c>
      <c r="F78" s="244">
        <f t="shared" si="6"/>
        <v>31.950000000000003</v>
      </c>
      <c r="G78" s="32">
        <f t="shared" si="7"/>
        <v>22.0533</v>
      </c>
      <c r="H78" s="245">
        <f t="shared" si="8"/>
        <v>4.1786296557717817</v>
      </c>
      <c r="I78" s="32">
        <f t="shared" si="9"/>
        <v>3.6850334458009546</v>
      </c>
      <c r="J78" s="32">
        <f t="shared" si="10"/>
        <v>0.13899507969933453</v>
      </c>
      <c r="K78" s="32">
        <f t="shared" si="11"/>
        <v>3.2432185263178059</v>
      </c>
      <c r="L78" s="32">
        <f t="shared" si="12"/>
        <v>0.49806570225594876</v>
      </c>
      <c r="M78" s="32">
        <f t="shared" si="13"/>
        <v>2.779901593986691E-2</v>
      </c>
      <c r="N78" s="32">
        <f t="shared" si="14"/>
        <v>3.2432185263178066E-3</v>
      </c>
      <c r="O78" s="32">
        <f t="shared" si="15"/>
        <v>1.8532677293244607E-2</v>
      </c>
      <c r="P78" s="32">
        <f t="shared" si="16"/>
        <v>0.90182090026069117</v>
      </c>
      <c r="Q78" s="471">
        <f t="shared" si="17"/>
        <v>5.37037037037037E-3</v>
      </c>
      <c r="R78" s="471">
        <f t="shared" si="18"/>
        <v>1.6172689166423642</v>
      </c>
      <c r="S78" s="471">
        <f t="shared" si="19"/>
        <v>1.4205740484020768</v>
      </c>
      <c r="T78" s="245">
        <f t="shared" si="20"/>
        <v>2.3849379315500139</v>
      </c>
      <c r="U78" s="246">
        <f t="shared" si="21"/>
        <v>142.12678948883078</v>
      </c>
      <c r="V78" s="476">
        <f t="shared" si="2"/>
        <v>3.2432185263178059</v>
      </c>
      <c r="W78" s="1"/>
    </row>
    <row r="79" spans="1:23" ht="15.75" hidden="1" customHeight="1" outlineLevel="1">
      <c r="A79" s="247">
        <f t="shared" si="22"/>
        <v>26207.413942088915</v>
      </c>
      <c r="B79" s="478">
        <f t="shared" si="23"/>
        <v>25</v>
      </c>
      <c r="C79" s="1">
        <f t="shared" si="3"/>
        <v>5</v>
      </c>
      <c r="D79" s="32">
        <f t="shared" si="4"/>
        <v>10</v>
      </c>
      <c r="E79" s="1">
        <f t="shared" si="5"/>
        <v>30</v>
      </c>
      <c r="F79" s="244">
        <f t="shared" si="6"/>
        <v>31.950000000000003</v>
      </c>
      <c r="G79" s="32">
        <f t="shared" si="7"/>
        <v>22.0533</v>
      </c>
      <c r="H79" s="245">
        <f t="shared" si="8"/>
        <v>3.9527223032730872</v>
      </c>
      <c r="I79" s="32">
        <f t="shared" si="9"/>
        <v>3.4858111604615085</v>
      </c>
      <c r="J79" s="32">
        <f t="shared" si="10"/>
        <v>0.13560438691885779</v>
      </c>
      <c r="K79" s="32">
        <f t="shared" si="11"/>
        <v>3.1641023614400154</v>
      </c>
      <c r="L79" s="32">
        <f t="shared" si="12"/>
        <v>0.48591571979257375</v>
      </c>
      <c r="M79" s="32">
        <f t="shared" si="13"/>
        <v>2.7120877383771561E-2</v>
      </c>
      <c r="N79" s="32">
        <f t="shared" si="14"/>
        <v>3.1641023614400157E-3</v>
      </c>
      <c r="O79" s="32">
        <f t="shared" si="15"/>
        <v>1.8080584922514374E-2</v>
      </c>
      <c r="P79" s="32">
        <f t="shared" si="16"/>
        <v>0.85306616754000586</v>
      </c>
      <c r="Q79" s="471">
        <f t="shared" si="17"/>
        <v>5.37037037037037E-3</v>
      </c>
      <c r="R79" s="471">
        <f t="shared" si="18"/>
        <v>1.5298352435642868</v>
      </c>
      <c r="S79" s="471">
        <f t="shared" si="19"/>
        <v>1.3437742004280899</v>
      </c>
      <c r="T79" s="245">
        <f t="shared" si="20"/>
        <v>2.3368828877136467</v>
      </c>
      <c r="U79" s="246">
        <f t="shared" si="21"/>
        <v>141.34475036617016</v>
      </c>
      <c r="V79" s="476">
        <f t="shared" si="2"/>
        <v>3.1641023614400154</v>
      </c>
      <c r="W79" s="1"/>
    </row>
    <row r="80" spans="1:23" ht="15.75" hidden="1" customHeight="1" outlineLevel="1">
      <c r="A80" s="247">
        <f t="shared" si="22"/>
        <v>29962.755578272558</v>
      </c>
      <c r="B80" s="478">
        <f t="shared" si="23"/>
        <v>25</v>
      </c>
      <c r="C80" s="1">
        <f t="shared" si="3"/>
        <v>5</v>
      </c>
      <c r="D80" s="32">
        <f t="shared" si="4"/>
        <v>10</v>
      </c>
      <c r="E80" s="1">
        <f t="shared" si="5"/>
        <v>30</v>
      </c>
      <c r="F80" s="244">
        <f t="shared" si="6"/>
        <v>31.950000000000003</v>
      </c>
      <c r="G80" s="32">
        <f t="shared" si="7"/>
        <v>22.0533</v>
      </c>
      <c r="H80" s="245">
        <f t="shared" si="8"/>
        <v>3.7390280771141415</v>
      </c>
      <c r="I80" s="32">
        <f t="shared" si="9"/>
        <v>3.2973593388260198</v>
      </c>
      <c r="J80" s="32">
        <f t="shared" si="10"/>
        <v>0.1322964078398764</v>
      </c>
      <c r="K80" s="32">
        <f t="shared" si="11"/>
        <v>3.0869161829304494</v>
      </c>
      <c r="L80" s="32">
        <f t="shared" si="12"/>
        <v>0.47406212809289044</v>
      </c>
      <c r="M80" s="32">
        <f t="shared" si="13"/>
        <v>2.6459281567975283E-2</v>
      </c>
      <c r="N80" s="32">
        <f t="shared" si="14"/>
        <v>3.0869161829304497E-3</v>
      </c>
      <c r="O80" s="32">
        <f t="shared" si="15"/>
        <v>1.7639521045316856E-2</v>
      </c>
      <c r="P80" s="32">
        <f t="shared" si="16"/>
        <v>0.80694723973577143</v>
      </c>
      <c r="Q80" s="471">
        <f t="shared" si="17"/>
        <v>5.37037037037037E-3</v>
      </c>
      <c r="R80" s="471">
        <f t="shared" si="18"/>
        <v>1.4471284573442063</v>
      </c>
      <c r="S80" s="471">
        <f t="shared" si="19"/>
        <v>1.2711263476672081</v>
      </c>
      <c r="T80" s="245">
        <f t="shared" si="20"/>
        <v>2.2897961236834599</v>
      </c>
      <c r="U80" s="246">
        <f t="shared" si="21"/>
        <v>140.60051639240061</v>
      </c>
      <c r="V80" s="476">
        <f t="shared" si="2"/>
        <v>3.0869161829304494</v>
      </c>
      <c r="W80" s="1"/>
    </row>
    <row r="81" spans="1:23" ht="15.75" hidden="1" customHeight="1" outlineLevel="1">
      <c r="A81" s="247">
        <f t="shared" si="22"/>
        <v>34256.211766148219</v>
      </c>
      <c r="B81" s="478">
        <f t="shared" si="23"/>
        <v>25</v>
      </c>
      <c r="C81" s="1">
        <f t="shared" si="3"/>
        <v>5</v>
      </c>
      <c r="D81" s="32">
        <f t="shared" si="4"/>
        <v>10</v>
      </c>
      <c r="E81" s="1">
        <f t="shared" si="5"/>
        <v>30</v>
      </c>
      <c r="F81" s="244">
        <f t="shared" si="6"/>
        <v>31.950000000000003</v>
      </c>
      <c r="G81" s="32">
        <f t="shared" si="7"/>
        <v>22.0533</v>
      </c>
      <c r="H81" s="245">
        <f t="shared" si="8"/>
        <v>3.5368867046064278</v>
      </c>
      <c r="I81" s="32">
        <f t="shared" si="9"/>
        <v>3.1190957022191874</v>
      </c>
      <c r="J81" s="32">
        <f t="shared" si="10"/>
        <v>0.12906912471650248</v>
      </c>
      <c r="K81" s="32">
        <f t="shared" si="11"/>
        <v>3.0116129100517246</v>
      </c>
      <c r="L81" s="32">
        <f t="shared" si="12"/>
        <v>0.46249769690080056</v>
      </c>
      <c r="M81" s="32">
        <f t="shared" si="13"/>
        <v>2.5813824943300499E-2</v>
      </c>
      <c r="N81" s="32">
        <f t="shared" si="14"/>
        <v>3.0116129100517253E-3</v>
      </c>
      <c r="O81" s="32">
        <f t="shared" si="15"/>
        <v>1.7209216628867E-2</v>
      </c>
      <c r="P81" s="32">
        <f t="shared" si="16"/>
        <v>0.76332161852690439</v>
      </c>
      <c r="Q81" s="471">
        <f t="shared" si="17"/>
        <v>5.37037037037037E-3</v>
      </c>
      <c r="R81" s="471">
        <f t="shared" si="18"/>
        <v>1.3688930104501287</v>
      </c>
      <c r="S81" s="471">
        <f t="shared" si="19"/>
        <v>1.2024060226926807</v>
      </c>
      <c r="T81" s="245">
        <f t="shared" si="20"/>
        <v>2.243658129212283</v>
      </c>
      <c r="U81" s="246">
        <f t="shared" si="21"/>
        <v>139.89214594422924</v>
      </c>
      <c r="V81" s="476">
        <f t="shared" si="2"/>
        <v>3.0116129100517246</v>
      </c>
      <c r="W81" s="1"/>
    </row>
    <row r="82" spans="1:23" ht="15.75" hidden="1" customHeight="1" outlineLevel="1">
      <c r="A82" s="247">
        <f t="shared" si="22"/>
        <v>39164.890608998081</v>
      </c>
      <c r="B82" s="478">
        <f t="shared" si="23"/>
        <v>25</v>
      </c>
      <c r="C82" s="1">
        <f t="shared" si="3"/>
        <v>5</v>
      </c>
      <c r="D82" s="32">
        <f t="shared" si="4"/>
        <v>10</v>
      </c>
      <c r="E82" s="1">
        <f t="shared" si="5"/>
        <v>30</v>
      </c>
      <c r="F82" s="244">
        <f t="shared" si="6"/>
        <v>31.950000000000003</v>
      </c>
      <c r="G82" s="32">
        <f t="shared" si="7"/>
        <v>22.0533</v>
      </c>
      <c r="H82" s="245">
        <f t="shared" si="8"/>
        <v>3.3456736090831538</v>
      </c>
      <c r="I82" s="32">
        <f t="shared" si="9"/>
        <v>2.9504694514326109</v>
      </c>
      <c r="J82" s="32">
        <f t="shared" si="10"/>
        <v>0.1259205690244207</v>
      </c>
      <c r="K82" s="32">
        <f t="shared" si="11"/>
        <v>2.9381466105698162</v>
      </c>
      <c r="L82" s="32">
        <f t="shared" si="12"/>
        <v>0.45121537233750753</v>
      </c>
      <c r="M82" s="32">
        <f t="shared" si="13"/>
        <v>2.518411380488414E-2</v>
      </c>
      <c r="N82" s="32">
        <f t="shared" si="14"/>
        <v>2.9381466105698169E-3</v>
      </c>
      <c r="O82" s="32">
        <f t="shared" si="15"/>
        <v>1.6789409203256094E-2</v>
      </c>
      <c r="P82" s="32">
        <f t="shared" si="16"/>
        <v>0.72205450941417226</v>
      </c>
      <c r="Q82" s="471">
        <f t="shared" si="17"/>
        <v>5.37037037037037E-3</v>
      </c>
      <c r="R82" s="471">
        <f t="shared" si="18"/>
        <v>1.2948871708999277</v>
      </c>
      <c r="S82" s="471">
        <f t="shared" si="19"/>
        <v>1.1374008933580446</v>
      </c>
      <c r="T82" s="245">
        <f t="shared" si="20"/>
        <v>2.1984497871725197</v>
      </c>
      <c r="U82" s="246">
        <f t="shared" si="21"/>
        <v>139.21780001328125</v>
      </c>
      <c r="V82" s="476">
        <f t="shared" si="2"/>
        <v>2.9381466105698162</v>
      </c>
      <c r="W82" s="1"/>
    </row>
    <row r="83" spans="1:23" ht="15.75" hidden="1" customHeight="1" outlineLevel="1">
      <c r="A83" s="247">
        <f t="shared" si="22"/>
        <v>44776.949269404198</v>
      </c>
      <c r="B83" s="478">
        <f t="shared" si="23"/>
        <v>25</v>
      </c>
      <c r="C83" s="1">
        <f t="shared" si="3"/>
        <v>5</v>
      </c>
      <c r="D83" s="32">
        <f t="shared" si="4"/>
        <v>10</v>
      </c>
      <c r="E83" s="1">
        <f t="shared" si="5"/>
        <v>30</v>
      </c>
      <c r="F83" s="244">
        <f t="shared" si="6"/>
        <v>31.950000000000003</v>
      </c>
      <c r="G83" s="32">
        <f t="shared" si="7"/>
        <v>22.0533</v>
      </c>
      <c r="H83" s="245">
        <f t="shared" si="8"/>
        <v>3.1647979800814894</v>
      </c>
      <c r="I83" s="32">
        <f t="shared" si="9"/>
        <v>2.7909595648647114</v>
      </c>
      <c r="J83" s="32">
        <f t="shared" si="10"/>
        <v>0.12284882026016086</v>
      </c>
      <c r="K83" s="32">
        <f t="shared" si="11"/>
        <v>2.8664724727370872</v>
      </c>
      <c r="L83" s="32">
        <f t="shared" si="12"/>
        <v>0.44020827259890977</v>
      </c>
      <c r="M83" s="32">
        <f t="shared" si="13"/>
        <v>2.4569764052032175E-2</v>
      </c>
      <c r="N83" s="32">
        <f t="shared" si="14"/>
        <v>2.8664724727370874E-3</v>
      </c>
      <c r="O83" s="32">
        <f t="shared" si="15"/>
        <v>1.6379842701354785E-2</v>
      </c>
      <c r="P83" s="32">
        <f t="shared" si="16"/>
        <v>0.68301840523198132</v>
      </c>
      <c r="Q83" s="471">
        <f t="shared" si="17"/>
        <v>5.37037037037037E-3</v>
      </c>
      <c r="R83" s="471">
        <f t="shared" si="18"/>
        <v>1.2248822753575634</v>
      </c>
      <c r="S83" s="471">
        <f t="shared" si="19"/>
        <v>1.075910106732995</v>
      </c>
      <c r="T83" s="245">
        <f t="shared" si="20"/>
        <v>2.1541523656350261</v>
      </c>
      <c r="U83" s="246">
        <f t="shared" si="21"/>
        <v>138.57573671309646</v>
      </c>
      <c r="V83" s="476">
        <f t="shared" si="2"/>
        <v>2.8664724727370872</v>
      </c>
      <c r="W83" s="1"/>
    </row>
    <row r="84" spans="1:23" ht="15.75" hidden="1" customHeight="1" outlineLevel="1">
      <c r="A84" s="247">
        <f t="shared" si="22"/>
        <v>51193.177223228522</v>
      </c>
      <c r="B84" s="478">
        <f t="shared" si="23"/>
        <v>25</v>
      </c>
      <c r="C84" s="1">
        <f t="shared" si="3"/>
        <v>5</v>
      </c>
      <c r="D84" s="32">
        <f t="shared" si="4"/>
        <v>10</v>
      </c>
      <c r="E84" s="1">
        <f t="shared" si="5"/>
        <v>30</v>
      </c>
      <c r="F84" s="244">
        <f t="shared" si="6"/>
        <v>31.950000000000003</v>
      </c>
      <c r="G84" s="32">
        <f t="shared" si="7"/>
        <v>22.0533</v>
      </c>
      <c r="H84" s="245">
        <f t="shared" si="8"/>
        <v>2.9937009478556509</v>
      </c>
      <c r="I84" s="32">
        <f t="shared" si="9"/>
        <v>2.6400731886675253</v>
      </c>
      <c r="J84" s="32">
        <f t="shared" si="10"/>
        <v>0.1198520047696611</v>
      </c>
      <c r="K84" s="32">
        <f t="shared" si="11"/>
        <v>2.7965467779587589</v>
      </c>
      <c r="L84" s="32">
        <f t="shared" si="12"/>
        <v>0.4294696837579523</v>
      </c>
      <c r="M84" s="32">
        <f t="shared" si="13"/>
        <v>2.3970400953932221E-2</v>
      </c>
      <c r="N84" s="32">
        <f t="shared" si="14"/>
        <v>2.7965467779587595E-3</v>
      </c>
      <c r="O84" s="32">
        <f t="shared" si="15"/>
        <v>1.5980267302621483E-2</v>
      </c>
      <c r="P84" s="32">
        <f t="shared" si="16"/>
        <v>0.6460926921765755</v>
      </c>
      <c r="Q84" s="471">
        <f t="shared" si="17"/>
        <v>5.37037037037037E-3</v>
      </c>
      <c r="R84" s="471">
        <f t="shared" si="18"/>
        <v>1.1586620226088193</v>
      </c>
      <c r="S84" s="471">
        <f t="shared" si="19"/>
        <v>1.0177436685077468</v>
      </c>
      <c r="T84" s="245">
        <f t="shared" si="20"/>
        <v>2.1107475101075996</v>
      </c>
      <c r="U84" s="246">
        <f t="shared" si="21"/>
        <v>137.96430608181515</v>
      </c>
      <c r="V84" s="476">
        <f t="shared" si="2"/>
        <v>2.7965467779587589</v>
      </c>
      <c r="W84" s="1"/>
    </row>
    <row r="85" spans="1:23" ht="15.75" hidden="1" customHeight="1" outlineLevel="1">
      <c r="A85" s="247">
        <f t="shared" si="22"/>
        <v>58528.806382966766</v>
      </c>
      <c r="B85" s="478">
        <f t="shared" si="23"/>
        <v>25</v>
      </c>
      <c r="C85" s="1">
        <f t="shared" si="3"/>
        <v>5</v>
      </c>
      <c r="D85" s="32">
        <f t="shared" si="4"/>
        <v>10</v>
      </c>
      <c r="E85" s="1">
        <f t="shared" si="5"/>
        <v>30</v>
      </c>
      <c r="F85" s="244">
        <f t="shared" si="6"/>
        <v>31.950000000000003</v>
      </c>
      <c r="G85" s="32">
        <f t="shared" si="7"/>
        <v>22.0533</v>
      </c>
      <c r="H85" s="245">
        <f t="shared" si="8"/>
        <v>2.8318538565804623</v>
      </c>
      <c r="I85" s="32">
        <f t="shared" si="9"/>
        <v>2.4973441139262715</v>
      </c>
      <c r="J85" s="32">
        <f t="shared" si="10"/>
        <v>0.11692829460540771</v>
      </c>
      <c r="K85" s="32">
        <f t="shared" si="11"/>
        <v>2.7283268741261799</v>
      </c>
      <c r="L85" s="32">
        <f t="shared" si="12"/>
        <v>0.41899305566937767</v>
      </c>
      <c r="M85" s="32">
        <f t="shared" si="13"/>
        <v>2.3385658921081545E-2</v>
      </c>
      <c r="N85" s="32">
        <f t="shared" si="14"/>
        <v>2.7283268741261804E-3</v>
      </c>
      <c r="O85" s="32">
        <f t="shared" si="15"/>
        <v>1.5590439280721029E-2</v>
      </c>
      <c r="P85" s="32">
        <f t="shared" si="16"/>
        <v>0.61116327713335428</v>
      </c>
      <c r="Q85" s="471">
        <f t="shared" si="17"/>
        <v>5.37037037037037E-3</v>
      </c>
      <c r="R85" s="471">
        <f t="shared" si="18"/>
        <v>1.0960218052335378</v>
      </c>
      <c r="S85" s="471">
        <f t="shared" si="19"/>
        <v>0.96272185594837789</v>
      </c>
      <c r="T85" s="245">
        <f t="shared" si="20"/>
        <v>2.0682172359298554</v>
      </c>
      <c r="U85" s="246">
        <f t="shared" si="21"/>
        <v>137.3819451645991</v>
      </c>
      <c r="V85" s="476">
        <f t="shared" si="2"/>
        <v>2.7283268741261799</v>
      </c>
      <c r="W85" s="1"/>
    </row>
    <row r="86" spans="1:23" ht="15.75" hidden="1" customHeight="1" outlineLevel="1">
      <c r="A86" s="247">
        <f t="shared" si="22"/>
        <v>66915.580599292472</v>
      </c>
      <c r="B86" s="478">
        <f t="shared" si="23"/>
        <v>25</v>
      </c>
      <c r="C86" s="1">
        <f t="shared" si="3"/>
        <v>5</v>
      </c>
      <c r="D86" s="32">
        <f t="shared" si="4"/>
        <v>10</v>
      </c>
      <c r="E86" s="1">
        <f t="shared" si="5"/>
        <v>30</v>
      </c>
      <c r="F86" s="244">
        <f t="shared" si="6"/>
        <v>31.950000000000003</v>
      </c>
      <c r="G86" s="32">
        <f t="shared" si="7"/>
        <v>22.0533</v>
      </c>
      <c r="H86" s="245">
        <f t="shared" si="8"/>
        <v>2.6787566309099193</v>
      </c>
      <c r="I86" s="32">
        <f t="shared" si="9"/>
        <v>2.3623313361664566</v>
      </c>
      <c r="J86" s="32">
        <f t="shared" si="10"/>
        <v>0.11407590641145414</v>
      </c>
      <c r="K86" s="32">
        <f t="shared" si="11"/>
        <v>2.6617711496005967</v>
      </c>
      <c r="L86" s="32">
        <f t="shared" si="12"/>
        <v>0.40877199797437735</v>
      </c>
      <c r="M86" s="32">
        <f t="shared" si="13"/>
        <v>2.281518128229083E-2</v>
      </c>
      <c r="N86" s="32">
        <f t="shared" si="14"/>
        <v>2.6617711496005969E-3</v>
      </c>
      <c r="O86" s="32">
        <f t="shared" si="15"/>
        <v>1.5210120854860553E-2</v>
      </c>
      <c r="P86" s="32">
        <f t="shared" si="16"/>
        <v>0.57812223515182393</v>
      </c>
      <c r="Q86" s="471">
        <f t="shared" si="17"/>
        <v>5.37037037037037E-3</v>
      </c>
      <c r="R86" s="471">
        <f t="shared" si="18"/>
        <v>1.0367680774093573</v>
      </c>
      <c r="S86" s="471">
        <f t="shared" si="19"/>
        <v>0.9106746625893003</v>
      </c>
      <c r="T86" s="245">
        <f t="shared" si="20"/>
        <v>2.0265439208213376</v>
      </c>
      <c r="U86" s="246">
        <f t="shared" si="21"/>
        <v>136.82717336069172</v>
      </c>
      <c r="V86" s="476">
        <f t="shared" si="2"/>
        <v>2.6617711496005967</v>
      </c>
      <c r="W86" s="1"/>
    </row>
    <row r="87" spans="1:23" ht="15.75" hidden="1" customHeight="1" outlineLevel="1">
      <c r="A87" s="247">
        <f t="shared" si="22"/>
        <v>76504.121707896629</v>
      </c>
      <c r="B87" s="478">
        <f t="shared" si="23"/>
        <v>25</v>
      </c>
      <c r="C87" s="1">
        <f t="shared" si="3"/>
        <v>5</v>
      </c>
      <c r="D87" s="32">
        <f t="shared" si="4"/>
        <v>10</v>
      </c>
      <c r="E87" s="1">
        <f t="shared" si="5"/>
        <v>30</v>
      </c>
      <c r="F87" s="244">
        <f t="shared" si="6"/>
        <v>31.950000000000003</v>
      </c>
      <c r="G87" s="32">
        <f t="shared" si="7"/>
        <v>22.0533</v>
      </c>
      <c r="H87" s="245">
        <f t="shared" si="8"/>
        <v>2.5339362308437607</v>
      </c>
      <c r="I87" s="32">
        <f t="shared" si="9"/>
        <v>2.2346176927376993</v>
      </c>
      <c r="J87" s="32">
        <f t="shared" si="10"/>
        <v>0.11129310033563944</v>
      </c>
      <c r="K87" s="32">
        <f t="shared" si="11"/>
        <v>2.5968390078315871</v>
      </c>
      <c r="L87" s="32">
        <f t="shared" si="12"/>
        <v>0.39880027620270797</v>
      </c>
      <c r="M87" s="32">
        <f t="shared" si="13"/>
        <v>2.225862006712789E-2</v>
      </c>
      <c r="N87" s="32">
        <f t="shared" si="14"/>
        <v>2.5968390078315875E-3</v>
      </c>
      <c r="O87" s="32">
        <f t="shared" si="15"/>
        <v>1.4839080044751925E-2</v>
      </c>
      <c r="P87" s="32">
        <f t="shared" si="16"/>
        <v>0.54686747597894991</v>
      </c>
      <c r="Q87" s="471">
        <f t="shared" si="17"/>
        <v>5.37037037037037E-3</v>
      </c>
      <c r="R87" s="471">
        <f t="shared" si="18"/>
        <v>0.9807177568935872</v>
      </c>
      <c r="S87" s="471">
        <f t="shared" si="19"/>
        <v>0.86144127294706985</v>
      </c>
      <c r="T87" s="245">
        <f t="shared" si="20"/>
        <v>1.9857102975797878</v>
      </c>
      <c r="U87" s="246">
        <f t="shared" si="21"/>
        <v>136.29858802084092</v>
      </c>
      <c r="V87" s="476">
        <f t="shared" si="2"/>
        <v>2.5968390078315871</v>
      </c>
      <c r="W87" s="1"/>
    </row>
    <row r="88" spans="1:23" ht="15.75" hidden="1" customHeight="1" outlineLevel="1">
      <c r="A88" s="247">
        <f t="shared" si="22"/>
        <v>87466.634614518247</v>
      </c>
      <c r="B88" s="478">
        <f t="shared" si="23"/>
        <v>25</v>
      </c>
      <c r="C88" s="1">
        <f t="shared" si="3"/>
        <v>5</v>
      </c>
      <c r="D88" s="32">
        <f t="shared" si="4"/>
        <v>10</v>
      </c>
      <c r="E88" s="1">
        <f t="shared" si="5"/>
        <v>30</v>
      </c>
      <c r="F88" s="244">
        <f t="shared" si="6"/>
        <v>31.950000000000003</v>
      </c>
      <c r="G88" s="32">
        <f t="shared" si="7"/>
        <v>22.0533</v>
      </c>
      <c r="H88" s="245">
        <f t="shared" si="8"/>
        <v>2.3969451901278749</v>
      </c>
      <c r="I88" s="32">
        <f t="shared" si="9"/>
        <v>2.1138085738640431</v>
      </c>
      <c r="J88" s="32">
        <f t="shared" si="10"/>
        <v>0.10857817896834203</v>
      </c>
      <c r="K88" s="32">
        <f t="shared" si="11"/>
        <v>2.5334908425946474</v>
      </c>
      <c r="L88" s="32">
        <f t="shared" si="12"/>
        <v>0.38907180796989227</v>
      </c>
      <c r="M88" s="32">
        <f t="shared" si="13"/>
        <v>2.1715635793668409E-2</v>
      </c>
      <c r="N88" s="32">
        <f t="shared" si="14"/>
        <v>2.5334908425946479E-3</v>
      </c>
      <c r="O88" s="32">
        <f t="shared" si="15"/>
        <v>1.4477090529112273E-2</v>
      </c>
      <c r="P88" s="32">
        <f t="shared" si="16"/>
        <v>0.51730242862056386</v>
      </c>
      <c r="Q88" s="471">
        <f t="shared" si="17"/>
        <v>5.37037037037037E-3</v>
      </c>
      <c r="R88" s="471">
        <f t="shared" si="18"/>
        <v>0.92769765933546311</v>
      </c>
      <c r="S88" s="471">
        <f t="shared" si="19"/>
        <v>0.81486956563250146</v>
      </c>
      <c r="T88" s="245">
        <f t="shared" si="20"/>
        <v>1.9456994469265356</v>
      </c>
      <c r="U88" s="246">
        <f t="shared" si="21"/>
        <v>135.79486028157558</v>
      </c>
      <c r="V88" s="476">
        <f t="shared" si="2"/>
        <v>2.5334908425946474</v>
      </c>
      <c r="W88" s="1"/>
    </row>
    <row r="89" spans="1:23" ht="15.75" hidden="1" customHeight="1" outlineLevel="1">
      <c r="A89" s="248">
        <f>B9</f>
        <v>100000</v>
      </c>
      <c r="B89" s="479">
        <f t="shared" si="23"/>
        <v>25</v>
      </c>
      <c r="C89" s="480">
        <f t="shared" si="3"/>
        <v>5</v>
      </c>
      <c r="D89" s="481">
        <f t="shared" si="4"/>
        <v>10</v>
      </c>
      <c r="E89" s="480">
        <f t="shared" si="5"/>
        <v>30</v>
      </c>
      <c r="F89" s="249">
        <f t="shared" si="6"/>
        <v>31.950000000000003</v>
      </c>
      <c r="G89" s="481">
        <f t="shared" si="7"/>
        <v>22.0533</v>
      </c>
      <c r="H89" s="250">
        <f t="shared" si="8"/>
        <v>2.2673602336725107</v>
      </c>
      <c r="I89" s="481">
        <f t="shared" si="9"/>
        <v>1.9995307033781791</v>
      </c>
      <c r="J89" s="481">
        <f t="shared" si="10"/>
        <v>0.10592948630712229</v>
      </c>
      <c r="K89" s="481">
        <f t="shared" si="11"/>
        <v>2.4716880138328539</v>
      </c>
      <c r="L89" s="481">
        <f t="shared" si="12"/>
        <v>0.37958065926718826</v>
      </c>
      <c r="M89" s="481">
        <f t="shared" si="13"/>
        <v>2.1185897261424461E-2</v>
      </c>
      <c r="N89" s="481">
        <f t="shared" si="14"/>
        <v>2.4716880138328542E-3</v>
      </c>
      <c r="O89" s="481">
        <f t="shared" si="15"/>
        <v>1.4123931507616308E-2</v>
      </c>
      <c r="P89" s="481">
        <f t="shared" si="16"/>
        <v>0.48933574295618548</v>
      </c>
      <c r="Q89" s="482">
        <f t="shared" si="17"/>
        <v>5.37037037037037E-3</v>
      </c>
      <c r="R89" s="482">
        <f t="shared" si="18"/>
        <v>0.87754396317092298</v>
      </c>
      <c r="S89" s="482">
        <f t="shared" si="19"/>
        <v>0.77081564332581076</v>
      </c>
      <c r="T89" s="250">
        <f t="shared" si="20"/>
        <v>1.906494790496049</v>
      </c>
      <c r="U89" s="251">
        <f t="shared" si="21"/>
        <v>135.31473112356005</v>
      </c>
      <c r="V89" s="483">
        <f t="shared" si="2"/>
        <v>2.4716880138328539</v>
      </c>
      <c r="W89" s="1"/>
    </row>
    <row r="90" spans="1:23" ht="15.75" hidden="1" customHeight="1" outlineLevel="1">
      <c r="A90" s="252"/>
      <c r="B90" s="253"/>
      <c r="C90" s="484"/>
      <c r="D90" s="32"/>
      <c r="E90" s="205"/>
      <c r="F90" s="205"/>
      <c r="G90" s="205"/>
      <c r="H90" s="471"/>
      <c r="I90" s="471"/>
      <c r="J90" s="471"/>
      <c r="K90" s="471"/>
      <c r="L90" s="471"/>
      <c r="M90" s="471"/>
      <c r="N90" s="471"/>
      <c r="O90" s="471"/>
      <c r="P90" s="471"/>
      <c r="Q90" s="471"/>
      <c r="R90" s="471"/>
      <c r="S90" s="471"/>
      <c r="T90" s="471"/>
      <c r="U90" s="471"/>
      <c r="V90" s="471"/>
      <c r="W90" s="471"/>
    </row>
    <row r="91" spans="1:23" ht="24" hidden="1" customHeight="1" outlineLevel="1">
      <c r="A91" s="485"/>
      <c r="B91" s="486">
        <v>0.05</v>
      </c>
      <c r="C91" s="487">
        <f t="shared" ref="C91:G91" si="24">B91+0.05</f>
        <v>0.1</v>
      </c>
      <c r="D91" s="487">
        <f t="shared" si="24"/>
        <v>0.15000000000000002</v>
      </c>
      <c r="E91" s="487">
        <f t="shared" si="24"/>
        <v>0.2</v>
      </c>
      <c r="F91" s="487">
        <f t="shared" si="24"/>
        <v>0.25</v>
      </c>
      <c r="G91" s="488">
        <f t="shared" si="24"/>
        <v>0.3</v>
      </c>
      <c r="H91" s="471"/>
      <c r="I91" s="471"/>
      <c r="J91" s="471"/>
      <c r="K91" s="471"/>
      <c r="L91" s="471"/>
      <c r="M91" s="471"/>
      <c r="N91" s="471"/>
      <c r="O91" s="471"/>
      <c r="P91" s="471"/>
      <c r="Q91" s="471"/>
      <c r="R91" s="471"/>
      <c r="S91" s="471"/>
      <c r="T91" s="471"/>
      <c r="U91" s="471"/>
      <c r="V91" s="471"/>
      <c r="W91" s="471"/>
    </row>
    <row r="92" spans="1:23" ht="24" hidden="1" customHeight="1" outlineLevel="1">
      <c r="A92" s="489" t="s">
        <v>317</v>
      </c>
      <c r="B92" s="12" t="str">
        <f t="shared" ref="B92:G92" si="25">"LR at "&amp;B91</f>
        <v>LR at 0,05</v>
      </c>
      <c r="C92" s="12" t="str">
        <f t="shared" si="25"/>
        <v>LR at 0,1</v>
      </c>
      <c r="D92" s="12" t="str">
        <f t="shared" si="25"/>
        <v>LR at 0,15</v>
      </c>
      <c r="E92" s="12" t="str">
        <f t="shared" si="25"/>
        <v>LR at 0,2</v>
      </c>
      <c r="F92" s="12" t="str">
        <f t="shared" si="25"/>
        <v>LR at 0,25</v>
      </c>
      <c r="G92" s="490" t="str">
        <f t="shared" si="25"/>
        <v>LR at 0,3</v>
      </c>
      <c r="H92" s="471"/>
      <c r="I92" s="471"/>
      <c r="J92" s="471"/>
      <c r="K92" s="471"/>
      <c r="L92" s="471"/>
      <c r="M92" s="471"/>
      <c r="N92" s="471"/>
      <c r="O92" s="471"/>
      <c r="P92" s="471"/>
      <c r="Q92" s="471"/>
      <c r="R92" s="471"/>
      <c r="S92" s="471"/>
      <c r="T92" s="471"/>
      <c r="U92" s="471"/>
      <c r="V92" s="471"/>
      <c r="W92" s="471"/>
    </row>
    <row r="93" spans="1:23" ht="24" hidden="1" customHeight="1" outlineLevel="1">
      <c r="A93" s="491">
        <f t="shared" ref="A93:A123" si="26">A59</f>
        <v>1800</v>
      </c>
      <c r="B93" s="1">
        <f t="shared" ref="B93:G93" si="27">$B$36*($A59/$A$59)^(-(-LOG(1-B$91))/(LOG(2)))</f>
        <v>167.73540423303982</v>
      </c>
      <c r="C93" s="1">
        <f t="shared" si="27"/>
        <v>167.73540423303982</v>
      </c>
      <c r="D93" s="1">
        <f t="shared" si="27"/>
        <v>167.73540423303982</v>
      </c>
      <c r="E93" s="1">
        <f t="shared" si="27"/>
        <v>167.73540423303982</v>
      </c>
      <c r="F93" s="1">
        <f t="shared" si="27"/>
        <v>167.73540423303982</v>
      </c>
      <c r="G93" s="372">
        <f t="shared" si="27"/>
        <v>167.73540423303982</v>
      </c>
      <c r="H93" s="471"/>
      <c r="I93" s="471"/>
      <c r="J93" s="471"/>
      <c r="K93" s="471"/>
      <c r="L93" s="471"/>
      <c r="M93" s="471"/>
      <c r="N93" s="471"/>
      <c r="O93" s="471"/>
      <c r="P93" s="471"/>
      <c r="Q93" s="471"/>
      <c r="R93" s="471"/>
      <c r="S93" s="471"/>
      <c r="T93" s="471"/>
      <c r="U93" s="471"/>
      <c r="V93" s="471"/>
      <c r="W93" s="471"/>
    </row>
    <row r="94" spans="1:23" ht="24" hidden="1" customHeight="1" outlineLevel="1">
      <c r="A94" s="492">
        <f t="shared" si="26"/>
        <v>2057.9275833955771</v>
      </c>
      <c r="B94" s="1">
        <f t="shared" ref="B94:G94" si="28">$B$36*($A60/$A$59)^(-(-LOG(1-B$91))/(LOG(2)))</f>
        <v>166.08141819046961</v>
      </c>
      <c r="C94" s="1">
        <f t="shared" si="28"/>
        <v>164.35563820361912</v>
      </c>
      <c r="D94" s="1">
        <f t="shared" si="28"/>
        <v>162.55068618987229</v>
      </c>
      <c r="E94" s="1">
        <f t="shared" si="28"/>
        <v>160.65793470195197</v>
      </c>
      <c r="F94" s="1">
        <f t="shared" si="28"/>
        <v>158.66720144597426</v>
      </c>
      <c r="G94" s="372">
        <f t="shared" si="28"/>
        <v>156.56634296455533</v>
      </c>
      <c r="H94" s="471"/>
      <c r="I94" s="471"/>
      <c r="J94" s="471"/>
      <c r="K94" s="471"/>
      <c r="L94" s="471"/>
      <c r="M94" s="471"/>
      <c r="N94" s="471"/>
      <c r="O94" s="471"/>
      <c r="P94" s="471"/>
      <c r="Q94" s="471"/>
      <c r="R94" s="471"/>
      <c r="S94" s="471"/>
      <c r="T94" s="471"/>
      <c r="U94" s="471"/>
      <c r="V94" s="471"/>
      <c r="W94" s="471"/>
    </row>
    <row r="95" spans="1:23" ht="24" hidden="1" customHeight="1" outlineLevel="1">
      <c r="A95" s="492">
        <f t="shared" si="26"/>
        <v>2352.8144102779779</v>
      </c>
      <c r="B95" s="1">
        <f t="shared" ref="B95:G95" si="29">$B$36*($A61/$A$59)^(-(-LOG(1-B$91))/(LOG(2)))</f>
        <v>164.44374158383226</v>
      </c>
      <c r="C95" s="1">
        <f t="shared" si="29"/>
        <v>161.04397239708135</v>
      </c>
      <c r="D95" s="1">
        <f t="shared" si="29"/>
        <v>157.52622829756592</v>
      </c>
      <c r="E95" s="1">
        <f t="shared" si="29"/>
        <v>153.87909368755984</v>
      </c>
      <c r="F95" s="1">
        <f t="shared" si="29"/>
        <v>150.08924877732193</v>
      </c>
      <c r="G95" s="372">
        <f t="shared" si="29"/>
        <v>146.14100023414309</v>
      </c>
      <c r="H95" s="471"/>
      <c r="I95" s="471"/>
      <c r="J95" s="471"/>
      <c r="K95" s="471"/>
      <c r="L95" s="471"/>
      <c r="M95" s="471"/>
      <c r="N95" s="471"/>
      <c r="O95" s="471"/>
      <c r="P95" s="471"/>
      <c r="Q95" s="471"/>
      <c r="R95" s="471"/>
      <c r="S95" s="471"/>
      <c r="T95" s="471"/>
      <c r="U95" s="471"/>
      <c r="V95" s="471"/>
      <c r="W95" s="471"/>
    </row>
    <row r="96" spans="1:23" ht="24" hidden="1" customHeight="1" outlineLevel="1">
      <c r="A96" s="492">
        <f t="shared" si="26"/>
        <v>2689.9564852898052</v>
      </c>
      <c r="B96" s="1">
        <f t="shared" ref="B96:G96" si="30">$B$36*($A62/$A$59)^(-(-LOG(1-B$91))/(LOG(2)))</f>
        <v>162.82221359091193</v>
      </c>
      <c r="C96" s="1">
        <f t="shared" si="30"/>
        <v>157.7990346354957</v>
      </c>
      <c r="D96" s="1">
        <f t="shared" si="30"/>
        <v>152.65707689890348</v>
      </c>
      <c r="E96" s="1">
        <f t="shared" si="30"/>
        <v>147.38628078366008</v>
      </c>
      <c r="F96" s="1">
        <f t="shared" si="30"/>
        <v>141.97504205814801</v>
      </c>
      <c r="G96" s="372">
        <f t="shared" si="30"/>
        <v>136.40985377215344</v>
      </c>
      <c r="H96" s="471"/>
      <c r="I96" s="471"/>
      <c r="J96" s="471"/>
      <c r="K96" s="471"/>
      <c r="L96" s="471"/>
      <c r="M96" s="471"/>
      <c r="N96" s="471"/>
      <c r="O96" s="471"/>
      <c r="P96" s="471"/>
      <c r="Q96" s="471"/>
      <c r="R96" s="471"/>
      <c r="S96" s="471"/>
      <c r="T96" s="471"/>
      <c r="U96" s="471"/>
      <c r="V96" s="471"/>
      <c r="W96" s="471"/>
    </row>
    <row r="97" spans="1:23" ht="24" hidden="1" customHeight="1" outlineLevel="1">
      <c r="A97" s="492">
        <f t="shared" si="26"/>
        <v>3075.4086940065054</v>
      </c>
      <c r="B97" s="1">
        <f t="shared" ref="B97:G97" si="31">$B$36*($A63/$A$59)^(-(-LOG(1-B$91))/(LOG(2)))</f>
        <v>161.21667497530993</v>
      </c>
      <c r="C97" s="1">
        <f t="shared" si="31"/>
        <v>154.61948038947935</v>
      </c>
      <c r="D97" s="1">
        <f t="shared" si="31"/>
        <v>147.93843145470538</v>
      </c>
      <c r="E97" s="1">
        <f t="shared" si="31"/>
        <v>141.16742724873507</v>
      </c>
      <c r="F97" s="1">
        <f t="shared" si="31"/>
        <v>134.29951000233498</v>
      </c>
      <c r="G97" s="372">
        <f t="shared" si="31"/>
        <v>127.32667886717364</v>
      </c>
      <c r="H97" s="471"/>
      <c r="I97" s="471"/>
      <c r="J97" s="471"/>
      <c r="K97" s="471"/>
      <c r="L97" s="471"/>
      <c r="M97" s="471"/>
      <c r="N97" s="471"/>
      <c r="O97" s="471"/>
      <c r="P97" s="471"/>
      <c r="Q97" s="471"/>
      <c r="R97" s="471"/>
      <c r="S97" s="471"/>
      <c r="T97" s="471"/>
      <c r="U97" s="471"/>
      <c r="V97" s="471"/>
      <c r="W97" s="471"/>
    </row>
    <row r="98" spans="1:23" ht="24" hidden="1" customHeight="1" outlineLevel="1">
      <c r="A98" s="492">
        <f t="shared" si="26"/>
        <v>3516.093545339198</v>
      </c>
      <c r="B98" s="1">
        <f t="shared" ref="B98:G98" si="32">$B$36*($A64/$A$59)^(-(-LOG(1-B$91))/(LOG(2)))</f>
        <v>159.62696807080764</v>
      </c>
      <c r="C98" s="1">
        <f t="shared" si="32"/>
        <v>151.50399222109596</v>
      </c>
      <c r="D98" s="1">
        <f t="shared" si="32"/>
        <v>143.36563981093607</v>
      </c>
      <c r="E98" s="1">
        <f t="shared" si="32"/>
        <v>135.21097357276039</v>
      </c>
      <c r="F98" s="1">
        <f t="shared" si="32"/>
        <v>127.03893674129159</v>
      </c>
      <c r="G98" s="372">
        <f t="shared" si="32"/>
        <v>118.84832879026129</v>
      </c>
      <c r="H98" s="471"/>
      <c r="I98" s="471"/>
      <c r="J98" s="471"/>
      <c r="K98" s="471"/>
      <c r="L98" s="471"/>
      <c r="M98" s="471"/>
      <c r="N98" s="471"/>
      <c r="O98" s="471"/>
      <c r="P98" s="471"/>
      <c r="Q98" s="471"/>
      <c r="R98" s="471"/>
      <c r="S98" s="471"/>
      <c r="T98" s="471"/>
      <c r="U98" s="471"/>
      <c r="V98" s="471"/>
      <c r="W98" s="471"/>
    </row>
    <row r="99" spans="1:23" ht="24" hidden="1" customHeight="1" outlineLevel="1">
      <c r="A99" s="492">
        <f t="shared" si="26"/>
        <v>4019.9254959737132</v>
      </c>
      <c r="B99" s="1">
        <f t="shared" ref="B99:G99" si="33">$B$36*($A65/$A$59)^(-(-LOG(1-B$91))/(LOG(2)))</f>
        <v>158.05293676588346</v>
      </c>
      <c r="C99" s="1">
        <f t="shared" si="33"/>
        <v>148.45127923797955</v>
      </c>
      <c r="D99" s="1">
        <f t="shared" si="33"/>
        <v>138.93419361210425</v>
      </c>
      <c r="E99" s="1">
        <f t="shared" si="33"/>
        <v>129.50584799056418</v>
      </c>
      <c r="F99" s="1">
        <f t="shared" si="33"/>
        <v>120.17088854663199</v>
      </c>
      <c r="G99" s="372">
        <f t="shared" si="33"/>
        <v>110.93452984015302</v>
      </c>
      <c r="H99" s="471"/>
      <c r="I99" s="471"/>
      <c r="J99" s="471"/>
      <c r="K99" s="471"/>
      <c r="L99" s="471"/>
      <c r="M99" s="471"/>
      <c r="N99" s="471"/>
      <c r="O99" s="471"/>
      <c r="P99" s="471"/>
      <c r="Q99" s="471"/>
      <c r="R99" s="471"/>
      <c r="S99" s="471"/>
      <c r="T99" s="471"/>
      <c r="U99" s="471"/>
      <c r="V99" s="471"/>
      <c r="W99" s="471"/>
    </row>
    <row r="100" spans="1:23" ht="24" hidden="1" customHeight="1" outlineLevel="1">
      <c r="A100" s="492">
        <f t="shared" si="26"/>
        <v>4595.9530896441393</v>
      </c>
      <c r="B100" s="1">
        <f t="shared" ref="B100:G100" si="34">$B$36*($A66/$A$59)^(-(-LOG(1-B$91))/(LOG(2)))</f>
        <v>156.49442648838232</v>
      </c>
      <c r="C100" s="1">
        <f t="shared" si="34"/>
        <v>145.46007655845759</v>
      </c>
      <c r="D100" s="1">
        <f t="shared" si="34"/>
        <v>134.63972385643581</v>
      </c>
      <c r="E100" s="1">
        <f t="shared" si="34"/>
        <v>124.04144590179888</v>
      </c>
      <c r="F100" s="1">
        <f t="shared" si="34"/>
        <v>113.67414451441374</v>
      </c>
      <c r="G100" s="372">
        <f t="shared" si="34"/>
        <v>103.54769003587555</v>
      </c>
      <c r="H100" s="471"/>
      <c r="I100" s="471"/>
      <c r="J100" s="471"/>
      <c r="K100" s="471"/>
      <c r="L100" s="471"/>
      <c r="M100" s="471"/>
      <c r="N100" s="471"/>
      <c r="O100" s="471"/>
      <c r="P100" s="471"/>
      <c r="Q100" s="471"/>
      <c r="R100" s="471"/>
      <c r="S100" s="471"/>
      <c r="T100" s="471"/>
      <c r="U100" s="471"/>
      <c r="V100" s="471"/>
      <c r="W100" s="471"/>
    </row>
    <row r="101" spans="1:23" ht="24" hidden="1" customHeight="1" outlineLevel="1">
      <c r="A101" s="492">
        <f t="shared" si="26"/>
        <v>5254.5214639837777</v>
      </c>
      <c r="B101" s="1">
        <f t="shared" ref="B101:G101" si="35">$B$36*($A67/$A$59)^(-(-LOG(1-B$91))/(LOG(2)))</f>
        <v>154.95128419033648</v>
      </c>
      <c r="C101" s="1">
        <f t="shared" si="35"/>
        <v>142.52914478745126</v>
      </c>
      <c r="D101" s="1">
        <f t="shared" si="35"/>
        <v>130.47799658843635</v>
      </c>
      <c r="E101" s="1">
        <f t="shared" si="35"/>
        <v>118.80761015927206</v>
      </c>
      <c r="F101" s="1">
        <f t="shared" si="35"/>
        <v>107.52863099676213</v>
      </c>
      <c r="G101" s="372">
        <f t="shared" si="35"/>
        <v>96.652720548015168</v>
      </c>
      <c r="H101" s="471"/>
      <c r="I101" s="471"/>
      <c r="J101" s="471"/>
      <c r="K101" s="471"/>
      <c r="L101" s="471"/>
      <c r="M101" s="471"/>
      <c r="N101" s="471"/>
      <c r="O101" s="471"/>
      <c r="P101" s="471"/>
      <c r="Q101" s="471"/>
      <c r="R101" s="471"/>
      <c r="S101" s="471"/>
      <c r="T101" s="471"/>
      <c r="U101" s="471"/>
      <c r="V101" s="471"/>
      <c r="W101" s="471"/>
    </row>
    <row r="102" spans="1:23" ht="24" hidden="1" customHeight="1" outlineLevel="1">
      <c r="A102" s="492">
        <f t="shared" si="26"/>
        <v>6007.4581434868478</v>
      </c>
      <c r="B102" s="1">
        <f t="shared" ref="B102:G102" si="36">$B$36*($A68/$A$59)^(-(-LOG(1-B$91))/(LOG(2)))</f>
        <v>153.4233583329362</v>
      </c>
      <c r="C102" s="1">
        <f t="shared" si="36"/>
        <v>139.65726950293617</v>
      </c>
      <c r="D102" s="1">
        <f t="shared" si="36"/>
        <v>126.44490872459727</v>
      </c>
      <c r="E102" s="1">
        <f t="shared" si="36"/>
        <v>113.7946121889963</v>
      </c>
      <c r="F102" s="1">
        <f t="shared" si="36"/>
        <v>101.71535957828773</v>
      </c>
      <c r="G102" s="372">
        <f t="shared" si="36"/>
        <v>90.216869020411124</v>
      </c>
      <c r="H102" s="471"/>
      <c r="I102" s="471"/>
      <c r="J102" s="471"/>
      <c r="K102" s="471"/>
      <c r="L102" s="471"/>
      <c r="M102" s="471"/>
      <c r="N102" s="471"/>
      <c r="O102" s="471"/>
      <c r="P102" s="471"/>
      <c r="Q102" s="471"/>
      <c r="R102" s="471"/>
      <c r="S102" s="471"/>
      <c r="T102" s="471"/>
      <c r="U102" s="471"/>
      <c r="V102" s="471"/>
      <c r="W102" s="471"/>
    </row>
    <row r="103" spans="1:23" ht="24" hidden="1" customHeight="1" outlineLevel="1">
      <c r="A103" s="492">
        <f t="shared" si="26"/>
        <v>6868.2854553199832</v>
      </c>
      <c r="B103" s="1">
        <f t="shared" ref="B103:G103" si="37">$B$36*($A69/$A$59)^(-(-LOG(1-B$91))/(LOG(2)))</f>
        <v>151.91049887164817</v>
      </c>
      <c r="C103" s="1">
        <f t="shared" si="37"/>
        <v>136.84326075275067</v>
      </c>
      <c r="D103" s="1">
        <f t="shared" si="37"/>
        <v>122.53648400812969</v>
      </c>
      <c r="E103" s="1">
        <f t="shared" si="37"/>
        <v>108.99313390686423</v>
      </c>
      <c r="F103" s="1">
        <f t="shared" si="37"/>
        <v>96.216368405656581</v>
      </c>
      <c r="G103" s="372">
        <f t="shared" si="37"/>
        <v>84.209563990520877</v>
      </c>
      <c r="H103" s="471"/>
      <c r="I103" s="471"/>
      <c r="J103" s="471"/>
      <c r="K103" s="471"/>
      <c r="L103" s="471"/>
      <c r="M103" s="471"/>
      <c r="N103" s="471"/>
      <c r="O103" s="471"/>
      <c r="P103" s="471"/>
      <c r="Q103" s="471"/>
      <c r="R103" s="471"/>
      <c r="S103" s="471"/>
      <c r="T103" s="471"/>
      <c r="U103" s="471"/>
      <c r="V103" s="471"/>
      <c r="W103" s="471"/>
    </row>
    <row r="104" spans="1:23" ht="24" hidden="1" customHeight="1" outlineLevel="1">
      <c r="A104" s="492">
        <f t="shared" si="26"/>
        <v>7852.4633828542474</v>
      </c>
      <c r="B104" s="1">
        <f t="shared" ref="B104:G104" si="38">$B$36*($A70/$A$59)^(-(-LOG(1-B$91))/(LOG(2)))</f>
        <v>150.41255724148104</v>
      </c>
      <c r="C104" s="1">
        <f t="shared" si="38"/>
        <v>134.08595256154288</v>
      </c>
      <c r="D104" s="1">
        <f t="shared" si="38"/>
        <v>118.74886908873798</v>
      </c>
      <c r="E104" s="1">
        <f t="shared" si="38"/>
        <v>104.3942503983362</v>
      </c>
      <c r="F104" s="1">
        <f t="shared" si="38"/>
        <v>91.014666689033277</v>
      </c>
      <c r="G104" s="372">
        <f t="shared" si="38"/>
        <v>78.602269669425922</v>
      </c>
      <c r="H104" s="471"/>
      <c r="I104" s="471"/>
      <c r="J104" s="471"/>
      <c r="K104" s="471"/>
      <c r="L104" s="471"/>
      <c r="M104" s="471"/>
      <c r="N104" s="471"/>
      <c r="O104" s="471"/>
      <c r="P104" s="471"/>
      <c r="Q104" s="471"/>
      <c r="R104" s="471"/>
      <c r="S104" s="471"/>
      <c r="T104" s="471"/>
      <c r="U104" s="471"/>
      <c r="V104" s="471"/>
      <c r="W104" s="471"/>
    </row>
    <row r="105" spans="1:23" ht="24" hidden="1" customHeight="1" outlineLevel="1">
      <c r="A105" s="492">
        <f t="shared" si="26"/>
        <v>8977.6672184330564</v>
      </c>
      <c r="B105" s="1">
        <f t="shared" ref="B105:G105" si="39">$B$36*($A71/$A$59)^(-(-LOG(1-B$91))/(LOG(2)))</f>
        <v>148.92938634239604</v>
      </c>
      <c r="C105" s="1">
        <f t="shared" si="39"/>
        <v>131.3842024476528</v>
      </c>
      <c r="D105" s="1">
        <f t="shared" si="39"/>
        <v>115.07832972356773</v>
      </c>
      <c r="E105" s="1">
        <f t="shared" si="39"/>
        <v>99.989413328945162</v>
      </c>
      <c r="F105" s="1">
        <f t="shared" si="39"/>
        <v>86.094182203917256</v>
      </c>
      <c r="G105" s="372">
        <f t="shared" si="39"/>
        <v>73.368350391656449</v>
      </c>
      <c r="H105" s="471"/>
      <c r="I105" s="471"/>
      <c r="J105" s="471"/>
      <c r="K105" s="471"/>
      <c r="L105" s="471"/>
      <c r="M105" s="471"/>
      <c r="N105" s="471"/>
      <c r="O105" s="471"/>
      <c r="P105" s="471"/>
      <c r="Q105" s="471"/>
      <c r="R105" s="471"/>
      <c r="S105" s="471"/>
      <c r="T105" s="471"/>
      <c r="U105" s="471"/>
      <c r="V105" s="471"/>
      <c r="W105" s="471"/>
    </row>
    <row r="106" spans="1:23" ht="24" hidden="1" customHeight="1" outlineLevel="1">
      <c r="A106" s="492">
        <f t="shared" si="26"/>
        <v>10264.105001866463</v>
      </c>
      <c r="B106" s="1">
        <f t="shared" ref="B106:G106" si="40">$B$36*($A72/$A$59)^(-(-LOG(1-B$91))/(LOG(2)))</f>
        <v>147.46084052486165</v>
      </c>
      <c r="C106" s="1">
        <f t="shared" si="40"/>
        <v>128.73689094972849</v>
      </c>
      <c r="D106" s="1">
        <f t="shared" si="40"/>
        <v>111.52124709558286</v>
      </c>
      <c r="E106" s="1">
        <f t="shared" si="40"/>
        <v>95.770435054783235</v>
      </c>
      <c r="F106" s="1">
        <f t="shared" si="40"/>
        <v>81.439711631163192</v>
      </c>
      <c r="G106" s="372">
        <f t="shared" si="40"/>
        <v>68.482944090947555</v>
      </c>
      <c r="H106" s="471"/>
      <c r="I106" s="471"/>
      <c r="J106" s="471"/>
      <c r="K106" s="471"/>
      <c r="L106" s="471"/>
      <c r="M106" s="471"/>
      <c r="N106" s="471"/>
      <c r="O106" s="471"/>
      <c r="P106" s="471"/>
      <c r="Q106" s="471"/>
      <c r="R106" s="471"/>
      <c r="S106" s="471"/>
      <c r="T106" s="471"/>
      <c r="U106" s="471"/>
      <c r="V106" s="471"/>
      <c r="W106" s="471"/>
    </row>
    <row r="107" spans="1:23" ht="24" hidden="1" customHeight="1" outlineLevel="1">
      <c r="A107" s="492">
        <f t="shared" si="26"/>
        <v>11734.880445671948</v>
      </c>
      <c r="B107" s="1">
        <f t="shared" ref="B107:G107" si="41">$B$36*($A73/$A$59)^(-(-LOG(1-B$91))/(LOG(2)))</f>
        <v>146.00677557555051</v>
      </c>
      <c r="C107" s="1">
        <f t="shared" si="41"/>
        <v>126.14292116288115</v>
      </c>
      <c r="D107" s="1">
        <f t="shared" si="41"/>
        <v>108.07411424574219</v>
      </c>
      <c r="E107" s="1">
        <f t="shared" si="41"/>
        <v>91.729473403434127</v>
      </c>
      <c r="F107" s="1">
        <f t="shared" si="41"/>
        <v>77.036873581746434</v>
      </c>
      <c r="G107" s="372">
        <f t="shared" si="41"/>
        <v>63.922844200912962</v>
      </c>
      <c r="H107" s="471"/>
      <c r="I107" s="471"/>
      <c r="J107" s="471"/>
      <c r="K107" s="471"/>
      <c r="L107" s="471"/>
      <c r="M107" s="471"/>
      <c r="N107" s="471"/>
      <c r="O107" s="471"/>
      <c r="P107" s="471"/>
      <c r="Q107" s="471"/>
      <c r="R107" s="471"/>
      <c r="S107" s="471"/>
      <c r="T107" s="471"/>
      <c r="U107" s="471"/>
      <c r="V107" s="471"/>
      <c r="W107" s="471"/>
    </row>
    <row r="108" spans="1:23" ht="24" hidden="1" customHeight="1" outlineLevel="1">
      <c r="A108" s="492">
        <f t="shared" si="26"/>
        <v>13416.407864998715</v>
      </c>
      <c r="B108" s="1">
        <f t="shared" ref="B108:G108" si="42">$B$36*($A74/$A$59)^(-(-LOG(1-B$91))/(LOG(2)))</f>
        <v>144.56704870317759</v>
      </c>
      <c r="C108" s="1">
        <f t="shared" si="42"/>
        <v>123.60121828418609</v>
      </c>
      <c r="D108" s="1">
        <f t="shared" si="42"/>
        <v>104.73353261545763</v>
      </c>
      <c r="E108" s="1">
        <f t="shared" si="42"/>
        <v>87.859017097062647</v>
      </c>
      <c r="F108" s="1">
        <f t="shared" si="42"/>
        <v>72.872064161129146</v>
      </c>
      <c r="G108" s="372">
        <f t="shared" si="42"/>
        <v>59.666389419644105</v>
      </c>
      <c r="H108" s="471"/>
      <c r="I108" s="471"/>
      <c r="J108" s="471"/>
      <c r="K108" s="471"/>
      <c r="L108" s="471"/>
      <c r="M108" s="471"/>
      <c r="N108" s="471"/>
      <c r="O108" s="471"/>
      <c r="P108" s="471"/>
      <c r="Q108" s="471"/>
      <c r="R108" s="471"/>
      <c r="S108" s="471"/>
      <c r="T108" s="471"/>
      <c r="U108" s="471"/>
      <c r="V108" s="471"/>
      <c r="W108" s="471"/>
    </row>
    <row r="109" spans="1:23" ht="24" hidden="1" customHeight="1" outlineLevel="1">
      <c r="A109" s="492">
        <f t="shared" si="26"/>
        <v>15338.886564147902</v>
      </c>
      <c r="B109" s="1">
        <f t="shared" ref="B109:G109" si="43">$B$36*($A75/$A$59)^(-(-LOG(1-B$91))/(LOG(2)))</f>
        <v>143.14151852447768</v>
      </c>
      <c r="C109" s="1">
        <f t="shared" si="43"/>
        <v>121.11072916734155</v>
      </c>
      <c r="D109" s="1">
        <f t="shared" si="43"/>
        <v>101.49620869592533</v>
      </c>
      <c r="E109" s="1">
        <f t="shared" si="43"/>
        <v>84.151871790566233</v>
      </c>
      <c r="F109" s="1">
        <f t="shared" si="43"/>
        <v>68.932414935929927</v>
      </c>
      <c r="G109" s="372">
        <f t="shared" si="43"/>
        <v>55.693360814595479</v>
      </c>
      <c r="H109" s="471"/>
      <c r="I109" s="471"/>
      <c r="J109" s="471"/>
      <c r="K109" s="471"/>
      <c r="L109" s="471"/>
      <c r="M109" s="471"/>
      <c r="N109" s="471"/>
      <c r="O109" s="471"/>
      <c r="P109" s="471"/>
      <c r="Q109" s="471"/>
      <c r="R109" s="471"/>
      <c r="S109" s="471"/>
      <c r="T109" s="471"/>
      <c r="U109" s="471"/>
      <c r="V109" s="471"/>
      <c r="W109" s="471"/>
    </row>
    <row r="110" spans="1:23" ht="24" hidden="1" customHeight="1" outlineLevel="1">
      <c r="A110" s="492">
        <f t="shared" si="26"/>
        <v>17536.84319940877</v>
      </c>
      <c r="B110" s="1">
        <f t="shared" ref="B110:G110" si="44">$B$36*($A76/$A$59)^(-(-LOG(1-B$91))/(LOG(2)))</f>
        <v>141.73004505032154</v>
      </c>
      <c r="C110" s="1">
        <f t="shared" si="44"/>
        <v>118.67042188630109</v>
      </c>
      <c r="D110" s="1">
        <f t="shared" si="44"/>
        <v>98.358950781026493</v>
      </c>
      <c r="E110" s="1">
        <f t="shared" si="44"/>
        <v>80.601146698836146</v>
      </c>
      <c r="F110" s="1">
        <f t="shared" si="44"/>
        <v>65.205753173022089</v>
      </c>
      <c r="G110" s="372">
        <f t="shared" si="44"/>
        <v>51.984885778986374</v>
      </c>
      <c r="H110" s="471"/>
      <c r="I110" s="471"/>
      <c r="J110" s="471"/>
      <c r="K110" s="471"/>
      <c r="L110" s="471"/>
      <c r="M110" s="471"/>
      <c r="N110" s="471"/>
      <c r="O110" s="471"/>
      <c r="P110" s="471"/>
      <c r="Q110" s="471"/>
      <c r="R110" s="471"/>
      <c r="S110" s="471"/>
      <c r="T110" s="471"/>
      <c r="U110" s="471"/>
      <c r="V110" s="471"/>
      <c r="W110" s="471"/>
    </row>
    <row r="111" spans="1:23" ht="24" hidden="1" customHeight="1" outlineLevel="1">
      <c r="A111" s="492">
        <f t="shared" si="26"/>
        <v>20049.75185874803</v>
      </c>
      <c r="B111" s="1">
        <f t="shared" ref="B111:G111" si="45">$B$36*($A77/$A$59)^(-(-LOG(1-B$91))/(LOG(2)))</f>
        <v>140.33248967196866</v>
      </c>
      <c r="C111" s="1">
        <f t="shared" si="45"/>
        <v>116.27928530769832</v>
      </c>
      <c r="D111" s="1">
        <f t="shared" si="45"/>
        <v>95.318665820596138</v>
      </c>
      <c r="E111" s="1">
        <f t="shared" si="45"/>
        <v>77.200241788271086</v>
      </c>
      <c r="F111" s="1">
        <f t="shared" si="45"/>
        <v>61.680564228207544</v>
      </c>
      <c r="G111" s="372">
        <f t="shared" si="45"/>
        <v>48.523348383494181</v>
      </c>
      <c r="H111" s="471"/>
      <c r="I111" s="471"/>
      <c r="J111" s="471"/>
      <c r="K111" s="471"/>
      <c r="L111" s="471"/>
      <c r="M111" s="471"/>
      <c r="N111" s="471"/>
      <c r="O111" s="471"/>
      <c r="P111" s="471"/>
      <c r="Q111" s="471"/>
      <c r="R111" s="471"/>
      <c r="S111" s="471"/>
      <c r="T111" s="471"/>
      <c r="U111" s="471"/>
      <c r="V111" s="471"/>
      <c r="W111" s="471"/>
    </row>
    <row r="112" spans="1:23" ht="24" hidden="1" customHeight="1" outlineLevel="1">
      <c r="A112" s="492">
        <f t="shared" si="26"/>
        <v>22922.742994641289</v>
      </c>
      <c r="B112" s="1">
        <f t="shared" ref="B112:G112" si="46">$B$36*($A78/$A$59)^(-(-LOG(1-B$91))/(LOG(2)))</f>
        <v>138.94871514745569</v>
      </c>
      <c r="C112" s="1">
        <f t="shared" si="46"/>
        <v>113.93632867188708</v>
      </c>
      <c r="D112" s="1">
        <f t="shared" si="46"/>
        <v>92.37235637095786</v>
      </c>
      <c r="E112" s="1">
        <f t="shared" si="46"/>
        <v>73.942835508735726</v>
      </c>
      <c r="F112" s="1">
        <f t="shared" si="46"/>
        <v>58.345955968254785</v>
      </c>
      <c r="G112" s="372">
        <f t="shared" si="46"/>
        <v>45.292305697393736</v>
      </c>
      <c r="H112" s="471"/>
      <c r="I112" s="471"/>
      <c r="J112" s="471"/>
      <c r="K112" s="471"/>
      <c r="L112" s="471"/>
      <c r="M112" s="471"/>
      <c r="N112" s="471"/>
      <c r="O112" s="471"/>
      <c r="P112" s="471"/>
      <c r="Q112" s="471"/>
      <c r="R112" s="471"/>
      <c r="S112" s="471"/>
      <c r="T112" s="471"/>
      <c r="U112" s="471"/>
      <c r="V112" s="471"/>
      <c r="W112" s="471"/>
    </row>
    <row r="113" spans="1:23" ht="24" hidden="1" customHeight="1" outlineLevel="1">
      <c r="A113" s="492">
        <f t="shared" si="26"/>
        <v>26207.413942088915</v>
      </c>
      <c r="B113" s="1">
        <f t="shared" ref="B113:G113" si="47">$B$36*($A79/$A$59)^(-(-LOG(1-B$91))/(LOG(2)))</f>
        <v>137.5785855881191</v>
      </c>
      <c r="C113" s="1">
        <f t="shared" si="47"/>
        <v>111.64058118242355</v>
      </c>
      <c r="D113" s="1">
        <f t="shared" si="47"/>
        <v>89.517117639717668</v>
      </c>
      <c r="E113" s="1">
        <f t="shared" si="47"/>
        <v>70.822873043159632</v>
      </c>
      <c r="F113" s="1">
        <f t="shared" si="47"/>
        <v>55.191625116371853</v>
      </c>
      <c r="G113" s="372">
        <f t="shared" si="47"/>
        <v>42.276409681652794</v>
      </c>
      <c r="H113" s="471"/>
      <c r="I113" s="471"/>
      <c r="J113" s="471"/>
      <c r="K113" s="471"/>
      <c r="L113" s="471"/>
      <c r="M113" s="471"/>
      <c r="N113" s="471"/>
      <c r="O113" s="471"/>
      <c r="P113" s="471"/>
      <c r="Q113" s="471"/>
      <c r="R113" s="471"/>
      <c r="S113" s="471"/>
      <c r="T113" s="471"/>
      <c r="U113" s="471"/>
      <c r="V113" s="471"/>
      <c r="W113" s="471"/>
    </row>
    <row r="114" spans="1:23" ht="24" hidden="1" customHeight="1" outlineLevel="1">
      <c r="A114" s="492">
        <f t="shared" si="26"/>
        <v>29962.755578272558</v>
      </c>
      <c r="B114" s="1">
        <f t="shared" ref="B114:G114" si="48">$B$36*($A80/$A$59)^(-(-LOG(1-B$91))/(LOG(2)))</f>
        <v>136.22196644525076</v>
      </c>
      <c r="C114" s="1">
        <f t="shared" si="48"/>
        <v>109.39109160381962</v>
      </c>
      <c r="D114" s="1">
        <f t="shared" si="48"/>
        <v>86.750134621903626</v>
      </c>
      <c r="E114" s="1">
        <f t="shared" si="48"/>
        <v>67.834555052935755</v>
      </c>
      <c r="F114" s="1">
        <f t="shared" si="48"/>
        <v>52.20782541712876</v>
      </c>
      <c r="G114" s="372">
        <f t="shared" si="48"/>
        <v>39.46133428296173</v>
      </c>
      <c r="H114" s="471"/>
      <c r="I114" s="471"/>
      <c r="J114" s="471"/>
      <c r="K114" s="471"/>
      <c r="L114" s="471"/>
      <c r="M114" s="471"/>
      <c r="N114" s="471"/>
      <c r="O114" s="471"/>
      <c r="P114" s="471"/>
      <c r="Q114" s="471"/>
      <c r="R114" s="471"/>
      <c r="S114" s="471"/>
      <c r="T114" s="471"/>
      <c r="U114" s="471"/>
      <c r="V114" s="471"/>
      <c r="W114" s="471"/>
    </row>
    <row r="115" spans="1:23" ht="24" hidden="1" customHeight="1" outlineLevel="1">
      <c r="A115" s="492">
        <f t="shared" si="26"/>
        <v>34256.211766148219</v>
      </c>
      <c r="B115" s="1">
        <f t="shared" ref="B115:G115" si="49">$B$36*($A81/$A$59)^(-(-LOG(1-B$91))/(LOG(2)))</f>
        <v>134.87872449688496</v>
      </c>
      <c r="C115" s="1">
        <f t="shared" si="49"/>
        <v>107.18692786740186</v>
      </c>
      <c r="D115" s="1">
        <f t="shared" si="49"/>
        <v>84.068679324627752</v>
      </c>
      <c r="E115" s="1">
        <f t="shared" si="49"/>
        <v>64.972326898198403</v>
      </c>
      <c r="F115" s="1">
        <f t="shared" si="49"/>
        <v>49.385337522465292</v>
      </c>
      <c r="G115" s="372">
        <f t="shared" si="49"/>
        <v>36.83370738238083</v>
      </c>
      <c r="H115" s="471"/>
      <c r="I115" s="471"/>
      <c r="J115" s="471"/>
      <c r="K115" s="471"/>
      <c r="L115" s="471"/>
      <c r="M115" s="471"/>
      <c r="N115" s="471"/>
      <c r="O115" s="471"/>
      <c r="P115" s="471"/>
      <c r="Q115" s="471"/>
      <c r="R115" s="471"/>
      <c r="S115" s="471"/>
      <c r="T115" s="471"/>
      <c r="U115" s="471"/>
      <c r="V115" s="471"/>
      <c r="W115" s="471"/>
    </row>
    <row r="116" spans="1:23" ht="24" hidden="1" customHeight="1" outlineLevel="1">
      <c r="A116" s="492">
        <f t="shared" si="26"/>
        <v>39164.890608998081</v>
      </c>
      <c r="B116" s="1">
        <f t="shared" ref="B116:G116" si="50">$B$36*($A82/$A$59)^(-(-LOG(1-B$91))/(LOG(2)))</f>
        <v>133.54872783471586</v>
      </c>
      <c r="C116" s="1">
        <f t="shared" si="50"/>
        <v>105.0271766851118</v>
      </c>
      <c r="D116" s="1">
        <f t="shared" si="50"/>
        <v>81.470108077533766</v>
      </c>
      <c r="E116" s="1">
        <f t="shared" si="50"/>
        <v>62.230868312943436</v>
      </c>
      <c r="F116" s="1">
        <f t="shared" si="50"/>
        <v>46.715440505737668</v>
      </c>
      <c r="G116" s="372">
        <f t="shared" si="50"/>
        <v>34.381047275348962</v>
      </c>
      <c r="H116" s="471"/>
      <c r="I116" s="471"/>
      <c r="J116" s="471"/>
      <c r="K116" s="471"/>
      <c r="L116" s="471"/>
      <c r="M116" s="471"/>
      <c r="N116" s="471"/>
      <c r="O116" s="471"/>
      <c r="P116" s="471"/>
      <c r="Q116" s="471"/>
      <c r="R116" s="471"/>
      <c r="S116" s="471"/>
      <c r="T116" s="471"/>
      <c r="U116" s="471"/>
      <c r="V116" s="471"/>
      <c r="W116" s="471"/>
    </row>
    <row r="117" spans="1:23" ht="24" hidden="1" customHeight="1" outlineLevel="1">
      <c r="A117" s="492">
        <f t="shared" si="26"/>
        <v>44776.949269404198</v>
      </c>
      <c r="B117" s="1">
        <f t="shared" ref="B117:G117" si="51">$B$36*($A83/$A$59)^(-(-LOG(1-B$91))/(LOG(2)))</f>
        <v>132.23184585114404</v>
      </c>
      <c r="C117" s="1">
        <f t="shared" si="51"/>
        <v>102.91094317108789</v>
      </c>
      <c r="D117" s="1">
        <f t="shared" si="51"/>
        <v>78.95185892637933</v>
      </c>
      <c r="E117" s="1">
        <f t="shared" si="51"/>
        <v>59.60508351579896</v>
      </c>
      <c r="F117" s="1">
        <f t="shared" si="51"/>
        <v>44.189884915788568</v>
      </c>
      <c r="G117" s="372">
        <f t="shared" si="51"/>
        <v>32.091703381322112</v>
      </c>
      <c r="H117" s="471"/>
      <c r="I117" s="471"/>
      <c r="J117" s="471"/>
      <c r="K117" s="471"/>
      <c r="L117" s="471"/>
      <c r="M117" s="471"/>
      <c r="N117" s="471"/>
      <c r="O117" s="471"/>
      <c r="P117" s="471"/>
      <c r="Q117" s="471"/>
      <c r="R117" s="471"/>
      <c r="S117" s="471"/>
      <c r="T117" s="471"/>
      <c r="U117" s="471"/>
      <c r="V117" s="471"/>
      <c r="W117" s="471"/>
    </row>
    <row r="118" spans="1:23" ht="24" hidden="1" customHeight="1" outlineLevel="1">
      <c r="A118" s="492">
        <f t="shared" si="26"/>
        <v>51193.177223228522</v>
      </c>
      <c r="B118" s="1">
        <f t="shared" ref="B118:G118" si="52">$B$36*($A84/$A$59)^(-(-LOG(1-B$91))/(LOG(2)))</f>
        <v>130.92794922645038</v>
      </c>
      <c r="C118" s="1">
        <f t="shared" si="52"/>
        <v>100.83735047087262</v>
      </c>
      <c r="D118" s="1">
        <f t="shared" si="52"/>
        <v>76.511449107182742</v>
      </c>
      <c r="E118" s="1">
        <f t="shared" si="52"/>
        <v>57.090091738064764</v>
      </c>
      <c r="F118" s="1">
        <f t="shared" si="52"/>
        <v>41.800867287782467</v>
      </c>
      <c r="G118" s="372">
        <f t="shared" si="52"/>
        <v>29.954800901401807</v>
      </c>
      <c r="H118" s="471"/>
      <c r="I118" s="471"/>
      <c r="J118" s="471"/>
      <c r="K118" s="471"/>
      <c r="L118" s="471"/>
      <c r="M118" s="471"/>
      <c r="N118" s="471"/>
      <c r="O118" s="471"/>
      <c r="P118" s="471"/>
      <c r="Q118" s="471"/>
      <c r="R118" s="471"/>
      <c r="S118" s="471"/>
      <c r="T118" s="471"/>
      <c r="U118" s="471"/>
      <c r="V118" s="471"/>
      <c r="W118" s="471"/>
    </row>
    <row r="119" spans="1:23" ht="24" hidden="1" customHeight="1" outlineLevel="1">
      <c r="A119" s="492">
        <f t="shared" si="26"/>
        <v>58528.806382966766</v>
      </c>
      <c r="B119" s="1">
        <f t="shared" ref="B119:G119" si="53">$B$36*($A85/$A$59)^(-(-LOG(1-B$91))/(LOG(2)))</f>
        <v>129.63690991609687</v>
      </c>
      <c r="C119" s="1">
        <f t="shared" si="53"/>
        <v>98.805539398090687</v>
      </c>
      <c r="D119" s="1">
        <f t="shared" si="53"/>
        <v>74.146472598444205</v>
      </c>
      <c r="E119" s="1">
        <f t="shared" si="53"/>
        <v>54.681218151413972</v>
      </c>
      <c r="F119" s="1">
        <f t="shared" si="53"/>
        <v>39.541006032050262</v>
      </c>
      <c r="G119" s="372">
        <f t="shared" si="53"/>
        <v>27.960189161067095</v>
      </c>
      <c r="H119" s="471"/>
      <c r="I119" s="471"/>
      <c r="J119" s="471"/>
      <c r="K119" s="471"/>
      <c r="L119" s="471"/>
      <c r="M119" s="471"/>
      <c r="N119" s="471"/>
      <c r="O119" s="471"/>
      <c r="P119" s="471"/>
      <c r="Q119" s="471"/>
      <c r="R119" s="471"/>
      <c r="S119" s="471"/>
      <c r="T119" s="471"/>
      <c r="U119" s="471"/>
      <c r="V119" s="471"/>
      <c r="W119" s="471"/>
    </row>
    <row r="120" spans="1:23" ht="24" hidden="1" customHeight="1" outlineLevel="1">
      <c r="A120" s="492">
        <f t="shared" si="26"/>
        <v>66915.580599292472</v>
      </c>
      <c r="B120" s="1">
        <f t="shared" ref="B120:G120" si="54">$B$36*($A86/$A$59)^(-(-LOG(1-B$91))/(LOG(2)))</f>
        <v>128.35860113815238</v>
      </c>
      <c r="C120" s="1">
        <f t="shared" si="54"/>
        <v>96.814668078447852</v>
      </c>
      <c r="D120" s="1">
        <f t="shared" si="54"/>
        <v>71.854597749027889</v>
      </c>
      <c r="E120" s="1">
        <f t="shared" si="54"/>
        <v>52.373985178393404</v>
      </c>
      <c r="F120" s="1">
        <f t="shared" si="54"/>
        <v>37.403318626444168</v>
      </c>
      <c r="G120" s="372">
        <f t="shared" si="54"/>
        <v>26.098393392628701</v>
      </c>
      <c r="H120" s="471"/>
      <c r="I120" s="471"/>
      <c r="J120" s="471"/>
      <c r="K120" s="471"/>
      <c r="L120" s="471"/>
      <c r="M120" s="471"/>
      <c r="N120" s="471"/>
      <c r="O120" s="471"/>
      <c r="P120" s="471"/>
      <c r="Q120" s="471"/>
      <c r="R120" s="471"/>
      <c r="S120" s="471"/>
      <c r="T120" s="471"/>
      <c r="U120" s="471"/>
      <c r="V120" s="471"/>
      <c r="W120" s="471"/>
    </row>
    <row r="121" spans="1:23" ht="24" hidden="1" customHeight="1" outlineLevel="1">
      <c r="A121" s="492">
        <f t="shared" si="26"/>
        <v>76504.121707896629</v>
      </c>
      <c r="B121" s="1">
        <f t="shared" ref="B121:G121" si="55">$B$36*($A87/$A$59)^(-(-LOG(1-B$91))/(LOG(2)))</f>
        <v>127.09289736084261</v>
      </c>
      <c r="C121" s="1">
        <f t="shared" si="55"/>
        <v>94.86391160090318</v>
      </c>
      <c r="D121" s="1">
        <f t="shared" si="55"/>
        <v>69.63356497936681</v>
      </c>
      <c r="E121" s="1">
        <f t="shared" si="55"/>
        <v>50.164104169571104</v>
      </c>
      <c r="F121" s="1">
        <f t="shared" si="55"/>
        <v>35.381200041732093</v>
      </c>
      <c r="G121" s="372">
        <f t="shared" si="55"/>
        <v>24.360569728363416</v>
      </c>
      <c r="H121" s="471"/>
      <c r="I121" s="471"/>
      <c r="J121" s="471"/>
      <c r="K121" s="471"/>
      <c r="L121" s="471"/>
      <c r="M121" s="471"/>
      <c r="N121" s="471"/>
      <c r="O121" s="471"/>
      <c r="P121" s="471"/>
      <c r="Q121" s="471"/>
      <c r="R121" s="471"/>
      <c r="S121" s="471"/>
      <c r="T121" s="471"/>
      <c r="U121" s="471"/>
      <c r="V121" s="471"/>
      <c r="W121" s="471"/>
    </row>
    <row r="122" spans="1:23" ht="24" hidden="1" customHeight="1" outlineLevel="1">
      <c r="A122" s="492">
        <f t="shared" si="26"/>
        <v>87466.634614518247</v>
      </c>
      <c r="B122" s="1">
        <f t="shared" ref="B122:G122" si="56">$B$36*($A88/$A$59)^(-(-LOG(1-B$91))/(LOG(2)))</f>
        <v>125.83967429022245</v>
      </c>
      <c r="C122" s="1">
        <f t="shared" si="56"/>
        <v>92.952461675869714</v>
      </c>
      <c r="D122" s="1">
        <f t="shared" si="56"/>
        <v>67.481184553723267</v>
      </c>
      <c r="E122" s="1">
        <f t="shared" si="56"/>
        <v>48.047467431860106</v>
      </c>
      <c r="F122" s="1">
        <f t="shared" si="56"/>
        <v>33.46840233336993</v>
      </c>
      <c r="G122" s="372">
        <f t="shared" si="56"/>
        <v>22.738463190537544</v>
      </c>
      <c r="H122" s="471"/>
      <c r="I122" s="471"/>
      <c r="J122" s="471"/>
      <c r="K122" s="471"/>
      <c r="L122" s="471"/>
      <c r="M122" s="471"/>
      <c r="N122" s="471"/>
      <c r="O122" s="471"/>
      <c r="P122" s="471"/>
      <c r="Q122" s="471"/>
      <c r="R122" s="471"/>
      <c r="S122" s="471"/>
      <c r="T122" s="471"/>
      <c r="U122" s="471"/>
      <c r="V122" s="471"/>
      <c r="W122" s="471"/>
    </row>
    <row r="123" spans="1:23" ht="24" hidden="1" customHeight="1" outlineLevel="1">
      <c r="A123" s="254">
        <f t="shared" si="26"/>
        <v>100000</v>
      </c>
      <c r="B123" s="418">
        <f t="shared" ref="B123:G123" si="57">$B$36*($A89/$A$59)^(-(-LOG(1-B$91))/(LOG(2)))</f>
        <v>124.59880885797033</v>
      </c>
      <c r="C123" s="418">
        <f t="shared" si="57"/>
        <v>91.079526300302419</v>
      </c>
      <c r="D123" s="418">
        <f t="shared" si="57"/>
        <v>65.395334421309187</v>
      </c>
      <c r="E123" s="418">
        <f t="shared" si="57"/>
        <v>46.020140593201241</v>
      </c>
      <c r="F123" s="418">
        <f t="shared" si="57"/>
        <v>31.659015336594678</v>
      </c>
      <c r="G123" s="493">
        <f t="shared" si="57"/>
        <v>21.224368478764863</v>
      </c>
      <c r="H123" s="471"/>
      <c r="I123" s="471"/>
      <c r="J123" s="471"/>
      <c r="K123" s="471"/>
      <c r="L123" s="471"/>
      <c r="M123" s="471"/>
      <c r="N123" s="471"/>
      <c r="O123" s="471"/>
      <c r="P123" s="471"/>
      <c r="Q123" s="471"/>
      <c r="R123" s="471"/>
      <c r="S123" s="471"/>
      <c r="T123" s="471"/>
      <c r="U123" s="471"/>
      <c r="V123" s="471"/>
      <c r="W123" s="471"/>
    </row>
    <row r="124" spans="1:23" ht="24" customHeight="1" collapsed="1">
      <c r="A124" s="205"/>
      <c r="B124" s="205"/>
      <c r="C124" s="205"/>
      <c r="D124" s="205"/>
      <c r="E124" s="205"/>
      <c r="F124" s="205"/>
      <c r="G124" s="205"/>
      <c r="H124" s="471"/>
      <c r="I124" s="471"/>
      <c r="J124" s="471"/>
      <c r="K124" s="471"/>
      <c r="L124" s="471"/>
      <c r="M124" s="471"/>
      <c r="N124" s="471"/>
      <c r="O124" s="471"/>
      <c r="P124" s="471"/>
      <c r="Q124" s="471"/>
      <c r="R124" s="471"/>
      <c r="S124" s="471"/>
      <c r="T124" s="471"/>
      <c r="U124" s="471"/>
      <c r="V124" s="471"/>
      <c r="W124" s="471"/>
    </row>
  </sheetData>
  <mergeCells count="19">
    <mergeCell ref="A24:D24"/>
    <mergeCell ref="M24:R24"/>
    <mergeCell ref="K27:K29"/>
    <mergeCell ref="G30:H30"/>
    <mergeCell ref="M16:R16"/>
    <mergeCell ref="M17:R17"/>
    <mergeCell ref="K20:K25"/>
    <mergeCell ref="M20:R20"/>
    <mergeCell ref="M21:R21"/>
    <mergeCell ref="M14:R14"/>
    <mergeCell ref="M15:R15"/>
    <mergeCell ref="A1:H3"/>
    <mergeCell ref="K3:M4"/>
    <mergeCell ref="K6:K10"/>
    <mergeCell ref="L6:R10"/>
    <mergeCell ref="K13:K18"/>
    <mergeCell ref="M13:R13"/>
    <mergeCell ref="A15:D15"/>
    <mergeCell ref="M18:R18"/>
  </mergeCells>
  <conditionalFormatting sqref="A1:G3 H1:J4">
    <cfRule type="notContainsBlanks" dxfId="0" priority="1">
      <formula>LEN(TRIM(A1))&gt;0</formula>
    </cfRule>
  </conditionalFormatting>
  <dataValidations count="1">
    <dataValidation type="list" allowBlank="1" showErrorMessage="1" sqref="G30" xr:uid="{00000000-0002-0000-0500-000000000000}">
      <formula1>$B$58:$T$58</formula1>
    </dataValidation>
  </dataValidations>
  <hyperlinks>
    <hyperlink ref="O27" r:id="rId2" xr:uid="{00000000-0004-0000-0500-000000000000}"/>
    <hyperlink ref="O29" r:id="rId3" xr:uid="{00000000-0004-0000-0500-000001000000}"/>
  </hyperlinks>
  <pageMargins left="0.7" right="0.7" top="0.75" bottom="0.75" header="0" footer="0"/>
  <pageSetup orientation="landscape"/>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65"/>
  <sheetViews>
    <sheetView workbookViewId="0"/>
  </sheetViews>
  <sheetFormatPr defaultColWidth="14.42578125" defaultRowHeight="15" customHeight="1"/>
  <cols>
    <col min="1" max="1" width="29.28515625" customWidth="1"/>
    <col min="2" max="2" width="13.85546875" customWidth="1"/>
    <col min="3" max="3" width="12" customWidth="1"/>
    <col min="4" max="9" width="10.7109375" customWidth="1"/>
    <col min="10" max="10" width="16.7109375" customWidth="1"/>
    <col min="11" max="11" width="12.28515625" customWidth="1"/>
    <col min="12" max="12" width="31" customWidth="1"/>
    <col min="13" max="13" width="20.140625" customWidth="1"/>
    <col min="14" max="14" width="18.28515625" customWidth="1"/>
    <col min="15" max="15" width="10.7109375" customWidth="1"/>
    <col min="16" max="16" width="23.5703125" customWidth="1"/>
    <col min="17" max="17" width="14" customWidth="1"/>
    <col min="18" max="19" width="10.7109375" customWidth="1"/>
    <col min="20" max="20" width="120.5703125" customWidth="1"/>
    <col min="21" max="23" width="10.7109375" customWidth="1"/>
    <col min="24" max="24" width="16.7109375" customWidth="1"/>
    <col min="25" max="30" width="10.7109375" customWidth="1"/>
  </cols>
  <sheetData>
    <row r="1" spans="1:30" ht="35.25" customHeight="1">
      <c r="A1" s="331"/>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row>
    <row r="2" spans="1:30" ht="35.25" customHeight="1">
      <c r="A2" s="255" t="s">
        <v>358</v>
      </c>
      <c r="B2" s="325" t="s">
        <v>359</v>
      </c>
      <c r="C2" s="494"/>
      <c r="D2" s="332" t="s">
        <v>360</v>
      </c>
      <c r="E2" s="321" t="s">
        <v>361</v>
      </c>
      <c r="F2" s="495"/>
      <c r="G2" s="495"/>
      <c r="H2" s="495"/>
      <c r="I2" s="495"/>
      <c r="J2" s="495"/>
      <c r="K2" s="495"/>
      <c r="L2" s="495"/>
      <c r="M2" s="494"/>
      <c r="N2" s="333"/>
      <c r="O2" s="258" t="s">
        <v>362</v>
      </c>
      <c r="P2" s="334" t="s">
        <v>363</v>
      </c>
      <c r="Q2" s="495"/>
      <c r="R2" s="494"/>
      <c r="S2" s="333"/>
      <c r="T2" s="323" t="s">
        <v>364</v>
      </c>
      <c r="U2" s="366"/>
      <c r="V2" s="366"/>
      <c r="W2" s="366"/>
      <c r="X2" s="366"/>
      <c r="Y2" s="366"/>
      <c r="Z2" s="366"/>
      <c r="AA2" s="366"/>
      <c r="AB2" s="366"/>
      <c r="AC2" s="366"/>
      <c r="AD2" s="367"/>
    </row>
    <row r="3" spans="1:30" ht="35.25" customHeight="1">
      <c r="A3" s="259" t="s">
        <v>101</v>
      </c>
      <c r="B3" s="260" t="s">
        <v>365</v>
      </c>
      <c r="C3" s="261" t="s">
        <v>366</v>
      </c>
      <c r="D3" s="349"/>
      <c r="E3" s="322" t="s">
        <v>367</v>
      </c>
      <c r="F3" s="465"/>
      <c r="G3" s="465"/>
      <c r="H3" s="465"/>
      <c r="I3" s="465"/>
      <c r="J3" s="466"/>
      <c r="K3" s="327"/>
      <c r="L3" s="496" t="s">
        <v>368</v>
      </c>
      <c r="M3" s="497"/>
      <c r="N3" s="349"/>
      <c r="O3" s="262"/>
      <c r="P3" s="263" t="s">
        <v>102</v>
      </c>
      <c r="Q3" s="263" t="s">
        <v>369</v>
      </c>
      <c r="R3" s="264" t="s">
        <v>370</v>
      </c>
      <c r="S3" s="349"/>
      <c r="T3" s="382"/>
      <c r="U3" s="383"/>
      <c r="V3" s="383"/>
      <c r="W3" s="383"/>
      <c r="X3" s="383"/>
      <c r="Y3" s="383"/>
      <c r="Z3" s="383"/>
      <c r="AA3" s="383"/>
      <c r="AB3" s="383"/>
      <c r="AC3" s="383"/>
      <c r="AD3" s="384"/>
    </row>
    <row r="4" spans="1:30" ht="35.25" customHeight="1">
      <c r="A4" s="265" t="s">
        <v>371</v>
      </c>
      <c r="B4" s="266">
        <v>0.63</v>
      </c>
      <c r="C4" s="267">
        <v>2.16</v>
      </c>
      <c r="D4" s="349"/>
      <c r="E4" s="259"/>
      <c r="F4" s="260"/>
      <c r="G4" s="260"/>
      <c r="H4" s="260" t="s">
        <v>372</v>
      </c>
      <c r="I4" s="260" t="s">
        <v>373</v>
      </c>
      <c r="J4" s="260" t="s">
        <v>374</v>
      </c>
      <c r="K4" s="498"/>
      <c r="L4" s="260" t="s">
        <v>375</v>
      </c>
      <c r="M4" s="261">
        <f ca="1">IFERROR(__xludf.DUMMYFUNCTION("GOOGLEFINANCE(""CURRENCY:USDEUR"")"),0.938439999999999)</f>
        <v>0.93843999999999905</v>
      </c>
      <c r="N4" s="349"/>
      <c r="O4" s="268" t="s">
        <v>376</v>
      </c>
      <c r="P4" s="269">
        <v>1</v>
      </c>
      <c r="Q4" s="269">
        <v>1</v>
      </c>
      <c r="R4" s="270">
        <v>1</v>
      </c>
      <c r="S4" s="349"/>
      <c r="T4" s="324" t="s">
        <v>377</v>
      </c>
      <c r="U4" s="366"/>
      <c r="V4" s="366"/>
      <c r="W4" s="366"/>
      <c r="X4" s="366"/>
      <c r="Y4" s="366"/>
      <c r="Z4" s="366"/>
      <c r="AA4" s="366"/>
      <c r="AB4" s="366"/>
      <c r="AC4" s="366"/>
      <c r="AD4" s="367"/>
    </row>
    <row r="5" spans="1:30" ht="35.25" customHeight="1">
      <c r="A5" s="271" t="s">
        <v>378</v>
      </c>
      <c r="B5" s="272">
        <v>5.03125</v>
      </c>
      <c r="C5" s="273">
        <v>16.681249999999999</v>
      </c>
      <c r="D5" s="349"/>
      <c r="E5" s="274" t="s">
        <v>379</v>
      </c>
      <c r="F5" s="266">
        <v>1</v>
      </c>
      <c r="G5" s="266"/>
      <c r="H5" s="266">
        <v>3</v>
      </c>
      <c r="I5" s="266"/>
      <c r="J5" s="266"/>
      <c r="K5" s="498"/>
      <c r="L5" s="266" t="s">
        <v>380</v>
      </c>
      <c r="M5" s="267">
        <f ca="1">IFERROR(__xludf.DUMMYFUNCTION("GOOGLEFINANCE(""CURRENCY:gbpEUR"")"),1.169028784)</f>
        <v>1.169028784</v>
      </c>
      <c r="N5" s="349"/>
      <c r="O5" s="275" t="s">
        <v>381</v>
      </c>
      <c r="P5" s="276">
        <v>1.54</v>
      </c>
      <c r="Q5" s="276">
        <v>1.9</v>
      </c>
      <c r="R5" s="277">
        <v>2.5</v>
      </c>
      <c r="S5" s="349"/>
      <c r="T5" s="382"/>
      <c r="U5" s="383"/>
      <c r="V5" s="383"/>
      <c r="W5" s="383"/>
      <c r="X5" s="383"/>
      <c r="Y5" s="383"/>
      <c r="Z5" s="383"/>
      <c r="AA5" s="383"/>
      <c r="AB5" s="383"/>
      <c r="AC5" s="383"/>
      <c r="AD5" s="384"/>
    </row>
    <row r="6" spans="1:30" ht="35.25" customHeight="1">
      <c r="A6" s="271" t="s">
        <v>382</v>
      </c>
      <c r="B6" s="272">
        <v>0.85</v>
      </c>
      <c r="C6" s="273">
        <v>1.464</v>
      </c>
      <c r="D6" s="349"/>
      <c r="E6" s="271">
        <v>2</v>
      </c>
      <c r="F6" s="272" t="str">
        <f ca="1">IFERROR(__xludf.DUMMYFUNCTION("IMPORTXML($E$5,""//*[@id='right']/table/tbody/tr[""&amp;E6&amp;""]/td[""&amp;F5&amp;""]"")"),"🇦🇹 ")</f>
        <v xml:space="preserve">🇦🇹 </v>
      </c>
      <c r="G6" s="272" t="str">
        <f ca="1">IFERROR(__xludf.DUMMYFUNCTION("""COMPUTED_VALUE"""),"Austria")</f>
        <v>Austria</v>
      </c>
      <c r="H6" s="278">
        <f ca="1">IFERROR(__xludf.DUMMYFUNCTION("IMPORTXML($E$5,""//*[@id='right']/table/tbody/tr[""&amp;E6&amp;""]/td[""&amp;$H$5&amp;""]"")"),85.52)</f>
        <v>85.52</v>
      </c>
      <c r="I6" s="278">
        <f t="shared" ref="I6:I32" ca="1" si="0">H6/1000</f>
        <v>8.5519999999999999E-2</v>
      </c>
      <c r="J6" s="278">
        <v>0.1338</v>
      </c>
      <c r="K6" s="499"/>
      <c r="L6" s="272" t="s">
        <v>383</v>
      </c>
      <c r="M6" s="273">
        <f ca="1">IFERROR(__xludf.DUMMYFUNCTION("GOOGLEFINANCE(""CURRENCY:SEKEUR"")"),0.08576369376)</f>
        <v>8.5763693759999995E-2</v>
      </c>
      <c r="N6" s="349"/>
      <c r="O6" s="279" t="s">
        <v>384</v>
      </c>
      <c r="P6" s="280">
        <v>0.45</v>
      </c>
      <c r="Q6" s="280">
        <v>0.39</v>
      </c>
      <c r="R6" s="281">
        <v>0.47</v>
      </c>
      <c r="S6" s="349"/>
      <c r="T6" s="335" t="s">
        <v>385</v>
      </c>
      <c r="U6" s="366"/>
      <c r="V6" s="366"/>
      <c r="W6" s="366"/>
      <c r="X6" s="366"/>
      <c r="Y6" s="366"/>
      <c r="Z6" s="366"/>
      <c r="AA6" s="366"/>
      <c r="AB6" s="366"/>
      <c r="AC6" s="366"/>
      <c r="AD6" s="367"/>
    </row>
    <row r="7" spans="1:30" ht="35.25" customHeight="1">
      <c r="A7" s="282" t="s">
        <v>386</v>
      </c>
      <c r="B7" s="326">
        <f>0.0812*10.55</f>
        <v>0.85665999999999998</v>
      </c>
      <c r="C7" s="500"/>
      <c r="D7" s="349"/>
      <c r="E7" s="271">
        <v>3</v>
      </c>
      <c r="F7" s="272" t="str">
        <f ca="1">IFERROR(__xludf.DUMMYFUNCTION("IMPORTXML($E$5,""//*[@id='right']/table/tbody/tr[""&amp;E7&amp;""]/td[""&amp;$F$5&amp;""]"")"),"🇧🇪 ")</f>
        <v xml:space="preserve">🇧🇪 </v>
      </c>
      <c r="G7" s="272" t="str">
        <f ca="1">IFERROR(__xludf.DUMMYFUNCTION("""COMPUTED_VALUE"""),"Belgium")</f>
        <v>Belgium</v>
      </c>
      <c r="H7" s="278">
        <f ca="1">IFERROR(__xludf.DUMMYFUNCTION("IMPORTXML($E$5,""//*[@id='right']/table/tbody/tr[""&amp;E7&amp;""]/td[""&amp;$H$5&amp;""]"")"),88.48)</f>
        <v>88.48</v>
      </c>
      <c r="I7" s="278">
        <f t="shared" ca="1" si="0"/>
        <v>8.8480000000000003E-2</v>
      </c>
      <c r="J7" s="278">
        <v>0.12683333333333333</v>
      </c>
      <c r="K7" s="336"/>
      <c r="L7" s="468"/>
      <c r="M7" s="501"/>
      <c r="N7" s="349"/>
      <c r="O7" s="279" t="s">
        <v>387</v>
      </c>
      <c r="P7" s="280">
        <v>0.18</v>
      </c>
      <c r="Q7" s="280">
        <v>0.26</v>
      </c>
      <c r="R7" s="281">
        <v>0.36</v>
      </c>
      <c r="S7" s="349"/>
      <c r="T7" s="382"/>
      <c r="U7" s="383"/>
      <c r="V7" s="383"/>
      <c r="W7" s="383"/>
      <c r="X7" s="383"/>
      <c r="Y7" s="383"/>
      <c r="Z7" s="383"/>
      <c r="AA7" s="383"/>
      <c r="AB7" s="383"/>
      <c r="AC7" s="383"/>
      <c r="AD7" s="384"/>
    </row>
    <row r="8" spans="1:30" ht="35.25" customHeight="1">
      <c r="A8" s="328"/>
      <c r="B8" s="366"/>
      <c r="C8" s="367"/>
      <c r="D8" s="349"/>
      <c r="E8" s="271">
        <v>4</v>
      </c>
      <c r="F8" s="272" t="str">
        <f ca="1">IFERROR(__xludf.DUMMYFUNCTION("IMPORTXML($E$5,""//*[@id='right']/table/tbody/tr[""&amp;E8&amp;""]/td[""&amp;$F$5&amp;""]"")"),"🇧🇬 ")</f>
        <v xml:space="preserve">🇧🇬 </v>
      </c>
      <c r="G8" s="272" t="str">
        <f ca="1">IFERROR(__xludf.DUMMYFUNCTION("""COMPUTED_VALUE"""),"Bulgaria")</f>
        <v>Bulgaria</v>
      </c>
      <c r="H8" s="278">
        <f ca="1">IFERROR(__xludf.DUMMYFUNCTION("IMPORTXML($E$5,""//*[@id='right']/table/tbody/tr[""&amp;E8&amp;""]/td[""&amp;$H$5&amp;""]"")"),83.77)</f>
        <v>83.77</v>
      </c>
      <c r="I8" s="278">
        <f t="shared" ca="1" si="0"/>
        <v>8.3769999999999997E-2</v>
      </c>
      <c r="J8" s="278"/>
      <c r="K8" s="502"/>
      <c r="L8" s="349"/>
      <c r="M8" s="369"/>
      <c r="N8" s="349"/>
      <c r="O8" s="279" t="s">
        <v>388</v>
      </c>
      <c r="P8" s="280">
        <v>0.16</v>
      </c>
      <c r="Q8" s="280">
        <v>0.31</v>
      </c>
      <c r="R8" s="281">
        <v>0.68</v>
      </c>
      <c r="S8" s="349"/>
      <c r="T8" s="283" t="s">
        <v>389</v>
      </c>
      <c r="U8" s="503" t="s">
        <v>390</v>
      </c>
      <c r="V8" s="465"/>
      <c r="W8" s="465"/>
      <c r="X8" s="465"/>
      <c r="Y8" s="465"/>
      <c r="Z8" s="465"/>
      <c r="AA8" s="465"/>
      <c r="AB8" s="465"/>
      <c r="AC8" s="465"/>
      <c r="AD8" s="466"/>
    </row>
    <row r="9" spans="1:30" ht="35.25" customHeight="1">
      <c r="A9" s="255" t="s">
        <v>181</v>
      </c>
      <c r="B9" s="325" t="s">
        <v>88</v>
      </c>
      <c r="C9" s="494"/>
      <c r="D9" s="349"/>
      <c r="E9" s="271">
        <v>5</v>
      </c>
      <c r="F9" s="272" t="str">
        <f ca="1">IFERROR(__xludf.DUMMYFUNCTION("IMPORTXML($E$5,""//*[@id='right']/table/tbody/tr[""&amp;E9&amp;""]/td[""&amp;$F$5&amp;""]"")"),"🇨🇭 ")</f>
        <v xml:space="preserve">🇨🇭 </v>
      </c>
      <c r="G9" s="272" t="str">
        <f ca="1">IFERROR(__xludf.DUMMYFUNCTION("""COMPUTED_VALUE"""),"Switzerland")</f>
        <v>Switzerland</v>
      </c>
      <c r="H9" s="278">
        <f ca="1">IFERROR(__xludf.DUMMYFUNCTION("IMPORTXML($E$5,""//*[@id='right']/table/tbody/tr[""&amp;E9&amp;""]/td[""&amp;$H$5&amp;""]"")"),91.23)</f>
        <v>91.23</v>
      </c>
      <c r="I9" s="278">
        <f t="shared" ca="1" si="0"/>
        <v>9.1230000000000006E-2</v>
      </c>
      <c r="J9" s="278">
        <v>0.14353333333333332</v>
      </c>
      <c r="K9" s="502"/>
      <c r="L9" s="349"/>
      <c r="M9" s="369"/>
      <c r="N9" s="349"/>
      <c r="O9" s="279" t="s">
        <v>391</v>
      </c>
      <c r="P9" s="280">
        <v>0.1</v>
      </c>
      <c r="Q9" s="280">
        <v>0.1</v>
      </c>
      <c r="R9" s="281">
        <v>0.11</v>
      </c>
      <c r="S9" s="349"/>
      <c r="T9" s="283" t="s">
        <v>392</v>
      </c>
      <c r="U9" s="503" t="s">
        <v>393</v>
      </c>
      <c r="V9" s="465"/>
      <c r="W9" s="465"/>
      <c r="X9" s="465"/>
      <c r="Y9" s="465"/>
      <c r="Z9" s="465"/>
      <c r="AA9" s="465"/>
      <c r="AB9" s="465"/>
      <c r="AC9" s="465"/>
      <c r="AD9" s="466"/>
    </row>
    <row r="10" spans="1:30" ht="35.25" customHeight="1">
      <c r="A10" s="284" t="s">
        <v>394</v>
      </c>
      <c r="B10" s="285" t="s">
        <v>395</v>
      </c>
      <c r="C10" s="286">
        <v>1405305.9034</v>
      </c>
      <c r="D10" s="349"/>
      <c r="E10" s="271">
        <v>6</v>
      </c>
      <c r="F10" s="272" t="str">
        <f ca="1">IFERROR(__xludf.DUMMYFUNCTION("IMPORTXML($E$5,""//*[@id='right']/table/tbody/tr[""&amp;E10&amp;""]/td[""&amp;$F$5&amp;""]"")"),"🇨🇿 ")</f>
        <v xml:space="preserve">🇨🇿 </v>
      </c>
      <c r="G10" s="272" t="str">
        <f ca="1">IFERROR(__xludf.DUMMYFUNCTION("""COMPUTED_VALUE"""),"Czechia")</f>
        <v>Czechia</v>
      </c>
      <c r="H10" s="278">
        <f ca="1">IFERROR(__xludf.DUMMYFUNCTION("IMPORTXML($E$5,""//*[@id='right']/table/tbody/tr[""&amp;E10&amp;""]/td[""&amp;$H$5&amp;""]"")"),95.12)</f>
        <v>95.12</v>
      </c>
      <c r="I10" s="278">
        <f t="shared" ca="1" si="0"/>
        <v>9.512000000000001E-2</v>
      </c>
      <c r="J10" s="278">
        <v>0.12723333333333334</v>
      </c>
      <c r="K10" s="502"/>
      <c r="L10" s="349"/>
      <c r="M10" s="369"/>
      <c r="N10" s="349"/>
      <c r="O10" s="279" t="s">
        <v>396</v>
      </c>
      <c r="P10" s="280">
        <v>0.25</v>
      </c>
      <c r="Q10" s="280">
        <v>0.28999999999999998</v>
      </c>
      <c r="R10" s="281">
        <v>0.18</v>
      </c>
      <c r="S10" s="349"/>
      <c r="T10" s="283" t="s">
        <v>397</v>
      </c>
      <c r="U10" s="503" t="s">
        <v>398</v>
      </c>
      <c r="V10" s="465"/>
      <c r="W10" s="465"/>
      <c r="X10" s="465"/>
      <c r="Y10" s="465"/>
      <c r="Z10" s="465"/>
      <c r="AA10" s="465"/>
      <c r="AB10" s="465"/>
      <c r="AC10" s="465"/>
      <c r="AD10" s="466"/>
    </row>
    <row r="11" spans="1:30" ht="35.25" customHeight="1">
      <c r="A11" s="284" t="s">
        <v>399</v>
      </c>
      <c r="B11" s="285" t="s">
        <v>395</v>
      </c>
      <c r="C11" s="286">
        <v>41879.3554</v>
      </c>
      <c r="D11" s="349"/>
      <c r="E11" s="271">
        <v>7</v>
      </c>
      <c r="F11" s="272" t="str">
        <f ca="1">IFERROR(__xludf.DUMMYFUNCTION("IMPORTXML($E$5,""//*[@id='right']/table/tbody/tr[""&amp;E11&amp;""]/td[""&amp;$F$5&amp;""]"")"),"🇩🇪 ")</f>
        <v xml:space="preserve">🇩🇪 </v>
      </c>
      <c r="G11" s="272" t="str">
        <f ca="1">IFERROR(__xludf.DUMMYFUNCTION("""COMPUTED_VALUE"""),"Germany")</f>
        <v>Germany</v>
      </c>
      <c r="H11" s="278">
        <f ca="1">IFERROR(__xludf.DUMMYFUNCTION("IMPORTXML($E$5,""//*[@id='right']/table/tbody/tr[""&amp;E11&amp;""]/td[""&amp;$H$5&amp;""]"")"),95.82)</f>
        <v>95.82</v>
      </c>
      <c r="I11" s="278">
        <f t="shared" ca="1" si="0"/>
        <v>9.5819999999999989E-2</v>
      </c>
      <c r="J11" s="278">
        <v>0.12090000000000001</v>
      </c>
      <c r="K11" s="502"/>
      <c r="L11" s="349"/>
      <c r="M11" s="369"/>
      <c r="N11" s="349"/>
      <c r="O11" s="287" t="s">
        <v>400</v>
      </c>
      <c r="P11" s="288">
        <v>0.4</v>
      </c>
      <c r="Q11" s="288">
        <v>0.55000000000000004</v>
      </c>
      <c r="R11" s="289">
        <v>0.7</v>
      </c>
      <c r="S11" s="349"/>
      <c r="T11" s="283" t="s">
        <v>401</v>
      </c>
      <c r="U11" s="503" t="s">
        <v>402</v>
      </c>
      <c r="V11" s="465"/>
      <c r="W11" s="465"/>
      <c r="X11" s="465"/>
      <c r="Y11" s="465"/>
      <c r="Z11" s="465"/>
      <c r="AA11" s="465"/>
      <c r="AB11" s="465"/>
      <c r="AC11" s="465"/>
      <c r="AD11" s="466"/>
    </row>
    <row r="12" spans="1:30" ht="35.25" customHeight="1">
      <c r="A12" s="290" t="s">
        <v>99</v>
      </c>
      <c r="B12" s="291" t="s">
        <v>395</v>
      </c>
      <c r="C12" s="292">
        <v>145.67803968252915</v>
      </c>
      <c r="D12" s="349"/>
      <c r="E12" s="271">
        <v>8</v>
      </c>
      <c r="F12" s="272" t="str">
        <f ca="1">IFERROR(__xludf.DUMMYFUNCTION("IMPORTXML($E$5,""//*[@id='right']/table/tbody/tr[""&amp;E12&amp;""]/td[""&amp;$F$5&amp;""]"")"),"¹🇩🇰 ")</f>
        <v xml:space="preserve">¹🇩🇰 </v>
      </c>
      <c r="G12" s="272" t="str">
        <f ca="1">IFERROR(__xludf.DUMMYFUNCTION("""COMPUTED_VALUE"""),"Denmark")</f>
        <v>Denmark</v>
      </c>
      <c r="H12" s="278">
        <f ca="1">IFERROR(__xludf.DUMMYFUNCTION("IMPORTXML($E$5,""//*[@id='right']/table/tbody/tr[""&amp;E12&amp;""]/td[""&amp;$H$5&amp;""]"")"),95.82)</f>
        <v>95.82</v>
      </c>
      <c r="I12" s="278">
        <f t="shared" ca="1" si="0"/>
        <v>9.5819999999999989E-2</v>
      </c>
      <c r="J12" s="278">
        <v>0.11070000000000001</v>
      </c>
      <c r="K12" s="502"/>
      <c r="L12" s="349"/>
      <c r="M12" s="369"/>
      <c r="N12" s="349"/>
      <c r="O12" s="275" t="s">
        <v>403</v>
      </c>
      <c r="P12" s="276">
        <v>1.17</v>
      </c>
      <c r="Q12" s="276">
        <v>1.1399999999999999</v>
      </c>
      <c r="R12" s="277">
        <v>1.25</v>
      </c>
      <c r="S12" s="349"/>
      <c r="T12" s="283" t="s">
        <v>404</v>
      </c>
      <c r="U12" s="503" t="s">
        <v>405</v>
      </c>
      <c r="V12" s="465"/>
      <c r="W12" s="465"/>
      <c r="X12" s="465"/>
      <c r="Y12" s="465"/>
      <c r="Z12" s="465"/>
      <c r="AA12" s="465"/>
      <c r="AB12" s="465"/>
      <c r="AC12" s="465"/>
      <c r="AD12" s="466"/>
    </row>
    <row r="13" spans="1:30" ht="35.25" customHeight="1">
      <c r="A13" s="504"/>
      <c r="B13" s="256"/>
      <c r="C13" s="505"/>
      <c r="D13" s="349"/>
      <c r="E13" s="271">
        <v>9</v>
      </c>
      <c r="F13" s="272" t="str">
        <f ca="1">IFERROR(__xludf.DUMMYFUNCTION("IMPORTXML($E$5,""//*[@id='right']/table/tbody/tr[""&amp;E13&amp;""]/td[""&amp;$F$5&amp;""]"")"),"²🇩🇰 ")</f>
        <v xml:space="preserve">²🇩🇰 </v>
      </c>
      <c r="G13" s="272" t="str">
        <f ca="1">IFERROR(__xludf.DUMMYFUNCTION("""COMPUTED_VALUE"""),"Denmark")</f>
        <v>Denmark</v>
      </c>
      <c r="H13" s="278">
        <f ca="1">IFERROR(__xludf.DUMMYFUNCTION("IMPORTXML($E$5,""//*[@id='right']/table/tbody/tr[""&amp;E13&amp;""]/td[""&amp;$H$5&amp;""]"")"),95.82)</f>
        <v>95.82</v>
      </c>
      <c r="I13" s="278">
        <f t="shared" ca="1" si="0"/>
        <v>9.5819999999999989E-2</v>
      </c>
      <c r="J13" s="278">
        <v>0.11070000000000001</v>
      </c>
      <c r="K13" s="502"/>
      <c r="L13" s="349"/>
      <c r="M13" s="369"/>
      <c r="N13" s="349"/>
      <c r="O13" s="279" t="s">
        <v>186</v>
      </c>
      <c r="P13" s="280">
        <v>0.33</v>
      </c>
      <c r="Q13" s="280">
        <v>0.32</v>
      </c>
      <c r="R13" s="281">
        <v>0.33</v>
      </c>
      <c r="S13" s="349"/>
      <c r="T13" s="283" t="s">
        <v>406</v>
      </c>
      <c r="U13" s="503" t="s">
        <v>407</v>
      </c>
      <c r="V13" s="465"/>
      <c r="W13" s="465"/>
      <c r="X13" s="465"/>
      <c r="Y13" s="465"/>
      <c r="Z13" s="465"/>
      <c r="AA13" s="465"/>
      <c r="AB13" s="465"/>
      <c r="AC13" s="465"/>
      <c r="AD13" s="466"/>
    </row>
    <row r="14" spans="1:30" ht="35.25" customHeight="1">
      <c r="A14" s="255" t="s">
        <v>344</v>
      </c>
      <c r="B14" s="255" t="s">
        <v>310</v>
      </c>
      <c r="C14" s="255" t="s">
        <v>408</v>
      </c>
      <c r="D14" s="349"/>
      <c r="E14" s="271">
        <v>10</v>
      </c>
      <c r="F14" s="272" t="str">
        <f ca="1">IFERROR(__xludf.DUMMYFUNCTION("IMPORTXML($E$5,""//*[@id='right']/table/tbody/tr[""&amp;E14&amp;""]/td[""&amp;$F$5&amp;""]"")"),"🇪🇪 ")</f>
        <v xml:space="preserve">🇪🇪 </v>
      </c>
      <c r="G14" s="272" t="str">
        <f ca="1">IFERROR(__xludf.DUMMYFUNCTION("""COMPUTED_VALUE"""),"Estonia")</f>
        <v>Estonia</v>
      </c>
      <c r="H14" s="278">
        <f ca="1">IFERROR(__xludf.DUMMYFUNCTION("IMPORTXML($E$5,""//*[@id='right']/table/tbody/tr[""&amp;E14&amp;""]/td[""&amp;$H$5&amp;""]"")"),97.9)</f>
        <v>97.9</v>
      </c>
      <c r="I14" s="278">
        <f t="shared" ca="1" si="0"/>
        <v>9.7900000000000001E-2</v>
      </c>
      <c r="J14" s="278">
        <v>0.1045</v>
      </c>
      <c r="K14" s="502"/>
      <c r="L14" s="349"/>
      <c r="M14" s="369"/>
      <c r="N14" s="349"/>
      <c r="O14" s="279" t="s">
        <v>188</v>
      </c>
      <c r="P14" s="280">
        <v>0.39</v>
      </c>
      <c r="Q14" s="280">
        <v>0.34</v>
      </c>
      <c r="R14" s="281">
        <v>0.41</v>
      </c>
      <c r="S14" s="349"/>
      <c r="T14" s="283" t="s">
        <v>409</v>
      </c>
      <c r="U14" s="503" t="s">
        <v>410</v>
      </c>
      <c r="V14" s="465"/>
      <c r="W14" s="465"/>
      <c r="X14" s="465"/>
      <c r="Y14" s="465"/>
      <c r="Z14" s="465"/>
      <c r="AA14" s="465"/>
      <c r="AB14" s="465"/>
      <c r="AC14" s="465"/>
      <c r="AD14" s="466"/>
    </row>
    <row r="15" spans="1:30" ht="35.25" customHeight="1">
      <c r="A15" s="272" t="s">
        <v>347</v>
      </c>
      <c r="B15" s="272" t="s">
        <v>411</v>
      </c>
      <c r="C15" s="293">
        <v>8.3000000000000004E-2</v>
      </c>
      <c r="D15" s="349"/>
      <c r="E15" s="271">
        <v>11</v>
      </c>
      <c r="F15" s="272" t="str">
        <f ca="1">IFERROR(__xludf.DUMMYFUNCTION("IMPORTXML($E$5,""//*[@id='right']/table/tbody/tr[""&amp;E15&amp;""]/td[""&amp;$F$5&amp;""]"")"),"🇪🇸 ")</f>
        <v xml:space="preserve">🇪🇸 </v>
      </c>
      <c r="G15" s="272" t="str">
        <f ca="1">IFERROR(__xludf.DUMMYFUNCTION("""COMPUTED_VALUE"""),"Spain")</f>
        <v>Spain</v>
      </c>
      <c r="H15" s="278">
        <f ca="1">IFERROR(__xludf.DUMMYFUNCTION("IMPORTXML($E$5,""//*[@id='right']/table/tbody/tr[""&amp;E15&amp;""]/td[""&amp;$H$5&amp;""]"")"),4.54)</f>
        <v>4.54</v>
      </c>
      <c r="I15" s="278">
        <f t="shared" ca="1" si="0"/>
        <v>4.5399999999999998E-3</v>
      </c>
      <c r="J15" s="278">
        <v>0.10446666666666667</v>
      </c>
      <c r="K15" s="502"/>
      <c r="L15" s="349"/>
      <c r="M15" s="369"/>
      <c r="N15" s="349"/>
      <c r="O15" s="279" t="s">
        <v>412</v>
      </c>
      <c r="P15" s="280">
        <v>0.2</v>
      </c>
      <c r="Q15" s="280">
        <v>0.23</v>
      </c>
      <c r="R15" s="281">
        <v>0.26</v>
      </c>
      <c r="S15" s="349"/>
      <c r="T15" s="283" t="s">
        <v>413</v>
      </c>
      <c r="U15" s="503" t="s">
        <v>414</v>
      </c>
      <c r="V15" s="465"/>
      <c r="W15" s="465"/>
      <c r="X15" s="465"/>
      <c r="Y15" s="465"/>
      <c r="Z15" s="465"/>
      <c r="AA15" s="465"/>
      <c r="AB15" s="465"/>
      <c r="AC15" s="465"/>
      <c r="AD15" s="466"/>
    </row>
    <row r="16" spans="1:30" ht="35.25" customHeight="1">
      <c r="A16" s="272" t="s">
        <v>347</v>
      </c>
      <c r="B16" s="272" t="s">
        <v>415</v>
      </c>
      <c r="C16" s="293">
        <v>0.11</v>
      </c>
      <c r="D16" s="349"/>
      <c r="E16" s="271">
        <v>12</v>
      </c>
      <c r="F16" s="272" t="str">
        <f ca="1">IFERROR(__xludf.DUMMYFUNCTION("IMPORTXML($E$5,""//*[@id='right']/table/tbody/tr[""&amp;E16&amp;""]/td[""&amp;$F$5&amp;""]"")"),"🇫🇮 ")</f>
        <v xml:space="preserve">🇫🇮 </v>
      </c>
      <c r="G16" s="272" t="str">
        <f ca="1">IFERROR(__xludf.DUMMYFUNCTION("""COMPUTED_VALUE"""),"Finland")</f>
        <v>Finland</v>
      </c>
      <c r="H16" s="278">
        <f ca="1">IFERROR(__xludf.DUMMYFUNCTION("IMPORTXML($E$5,""//*[@id='right']/table/tbody/tr[""&amp;E16&amp;""]/td[""&amp;$H$5&amp;""]"")"),88.56)</f>
        <v>88.56</v>
      </c>
      <c r="I16" s="278">
        <f t="shared" ca="1" si="0"/>
        <v>8.856E-2</v>
      </c>
      <c r="J16" s="278">
        <v>8.4766666666666657E-2</v>
      </c>
      <c r="K16" s="502"/>
      <c r="L16" s="349"/>
      <c r="M16" s="369"/>
      <c r="N16" s="349"/>
      <c r="O16" s="279" t="s">
        <v>239</v>
      </c>
      <c r="P16" s="280">
        <v>0.25</v>
      </c>
      <c r="Q16" s="280">
        <v>0.25</v>
      </c>
      <c r="R16" s="281">
        <v>0.25</v>
      </c>
      <c r="S16" s="349"/>
      <c r="T16" s="283" t="s">
        <v>416</v>
      </c>
      <c r="U16" s="503" t="s">
        <v>417</v>
      </c>
      <c r="V16" s="465"/>
      <c r="W16" s="465"/>
      <c r="X16" s="465"/>
      <c r="Y16" s="465"/>
      <c r="Z16" s="465"/>
      <c r="AA16" s="465"/>
      <c r="AB16" s="465"/>
      <c r="AC16" s="465"/>
      <c r="AD16" s="466"/>
    </row>
    <row r="17" spans="1:30" ht="35.25" customHeight="1">
      <c r="A17" s="272" t="s">
        <v>347</v>
      </c>
      <c r="B17" s="272" t="s">
        <v>418</v>
      </c>
      <c r="C17" s="293">
        <v>0.22</v>
      </c>
      <c r="D17" s="349"/>
      <c r="E17" s="271">
        <v>13</v>
      </c>
      <c r="F17" s="272" t="str">
        <f ca="1">IFERROR(__xludf.DUMMYFUNCTION("IMPORTXML($E$5,""//*[@id='right']/table/tbody/tr[""&amp;E17&amp;""]/td[""&amp;$F$5&amp;""]"")"),"🇫🇷 ")</f>
        <v xml:space="preserve">🇫🇷 </v>
      </c>
      <c r="G17" s="272" t="str">
        <f ca="1">IFERROR(__xludf.DUMMYFUNCTION("""COMPUTED_VALUE"""),"France")</f>
        <v>France</v>
      </c>
      <c r="H17" s="278">
        <f ca="1">IFERROR(__xludf.DUMMYFUNCTION("IMPORTXML($E$5,""//*[@id='right']/table/tbody/tr[""&amp;E17&amp;""]/td[""&amp;$H$5&amp;""]"")"),59.15)</f>
        <v>59.15</v>
      </c>
      <c r="I17" s="278">
        <f t="shared" ca="1" si="0"/>
        <v>5.9150000000000001E-2</v>
      </c>
      <c r="J17" s="278">
        <v>0.1391</v>
      </c>
      <c r="K17" s="502"/>
      <c r="L17" s="349"/>
      <c r="M17" s="369"/>
      <c r="N17" s="349"/>
      <c r="O17" s="294" t="s">
        <v>419</v>
      </c>
      <c r="P17" s="263">
        <v>3.71</v>
      </c>
      <c r="Q17" s="263">
        <v>4.04</v>
      </c>
      <c r="R17" s="264">
        <v>4.75</v>
      </c>
      <c r="S17" s="349"/>
      <c r="T17" s="283" t="s">
        <v>420</v>
      </c>
      <c r="U17" s="503" t="s">
        <v>421</v>
      </c>
      <c r="V17" s="465"/>
      <c r="W17" s="465"/>
      <c r="X17" s="465"/>
      <c r="Y17" s="465"/>
      <c r="Z17" s="465"/>
      <c r="AA17" s="465"/>
      <c r="AB17" s="465"/>
      <c r="AC17" s="465"/>
      <c r="AD17" s="466"/>
    </row>
    <row r="18" spans="1:30" ht="35.25" customHeight="1">
      <c r="A18" s="272" t="s">
        <v>347</v>
      </c>
      <c r="B18" s="272" t="s">
        <v>422</v>
      </c>
      <c r="C18" s="293">
        <v>0.12</v>
      </c>
      <c r="D18" s="349"/>
      <c r="E18" s="271">
        <v>14</v>
      </c>
      <c r="F18" s="272" t="str">
        <f ca="1">IFERROR(__xludf.DUMMYFUNCTION("IMPORTXML($E$5,""//*[@id='right']/table/tbody/tr[""&amp;E18&amp;""]/td[""&amp;$F$5&amp;""]"")"),"🇬🇷 ")</f>
        <v xml:space="preserve">🇬🇷 </v>
      </c>
      <c r="G18" s="272" t="str">
        <f ca="1">IFERROR(__xludf.DUMMYFUNCTION("""COMPUTED_VALUE"""),"Greece")</f>
        <v>Greece</v>
      </c>
      <c r="H18" s="278">
        <f ca="1">IFERROR(__xludf.DUMMYFUNCTION("IMPORTXML($E$5,""//*[@id='right']/table/tbody/tr[""&amp;E18&amp;""]/td[""&amp;$H$5&amp;""]"")"),78.34)</f>
        <v>78.34</v>
      </c>
      <c r="I18" s="278">
        <f t="shared" ca="1" si="0"/>
        <v>7.8340000000000007E-2</v>
      </c>
      <c r="J18" s="278">
        <v>0.14713333333333334</v>
      </c>
      <c r="K18" s="502"/>
      <c r="L18" s="349"/>
      <c r="M18" s="369"/>
      <c r="N18" s="349"/>
      <c r="O18" s="294" t="s">
        <v>423</v>
      </c>
      <c r="P18" s="280">
        <v>0.65</v>
      </c>
      <c r="Q18" s="280">
        <v>0.71</v>
      </c>
      <c r="R18" s="281">
        <v>0.84</v>
      </c>
      <c r="S18" s="349"/>
      <c r="T18" s="329" t="s">
        <v>424</v>
      </c>
      <c r="U18" s="468"/>
      <c r="V18" s="468"/>
      <c r="W18" s="468"/>
      <c r="X18" s="468"/>
      <c r="Y18" s="468"/>
      <c r="Z18" s="468"/>
      <c r="AA18" s="468"/>
      <c r="AB18" s="468"/>
      <c r="AC18" s="468"/>
      <c r="AD18" s="469"/>
    </row>
    <row r="19" spans="1:30" ht="35.25" customHeight="1">
      <c r="A19" s="272" t="s">
        <v>347</v>
      </c>
      <c r="B19" s="272" t="s">
        <v>425</v>
      </c>
      <c r="C19" s="293">
        <v>0.13</v>
      </c>
      <c r="D19" s="349"/>
      <c r="E19" s="271">
        <v>15</v>
      </c>
      <c r="F19" s="272" t="str">
        <f ca="1">IFERROR(__xludf.DUMMYFUNCTION("IMPORTXML($E$5,""//*[@id='right']/table/tbody/tr[""&amp;E19&amp;""]/td[""&amp;$F$5&amp;""]"")"),"🇭🇷 ")</f>
        <v xml:space="preserve">🇭🇷 </v>
      </c>
      <c r="G19" s="272" t="str">
        <f ca="1">IFERROR(__xludf.DUMMYFUNCTION("""COMPUTED_VALUE"""),"Croatia")</f>
        <v>Croatia</v>
      </c>
      <c r="H19" s="278">
        <f ca="1">IFERROR(__xludf.DUMMYFUNCTION("IMPORTXML($E$5,""//*[@id='right']/table/tbody/tr[""&amp;E19&amp;""]/td[""&amp;$H$5&amp;""]"")"),92.83)</f>
        <v>92.83</v>
      </c>
      <c r="I19" s="278">
        <f t="shared" ca="1" si="0"/>
        <v>9.2829999999999996E-2</v>
      </c>
      <c r="J19" s="278"/>
      <c r="K19" s="502"/>
      <c r="L19" s="349"/>
      <c r="M19" s="369"/>
      <c r="N19" s="349"/>
      <c r="O19" s="268" t="s">
        <v>426</v>
      </c>
      <c r="P19" s="269">
        <v>4.3600000000000003</v>
      </c>
      <c r="Q19" s="269">
        <v>4.75</v>
      </c>
      <c r="R19" s="270">
        <v>5.59</v>
      </c>
      <c r="S19" s="349"/>
      <c r="T19" s="506"/>
      <c r="U19" s="507"/>
      <c r="V19" s="507"/>
      <c r="W19" s="507"/>
      <c r="X19" s="507"/>
      <c r="Y19" s="507"/>
      <c r="Z19" s="507"/>
      <c r="AA19" s="507"/>
      <c r="AB19" s="507"/>
      <c r="AC19" s="507"/>
      <c r="AD19" s="508"/>
    </row>
    <row r="20" spans="1:30" ht="35.25" customHeight="1">
      <c r="A20" s="272" t="s">
        <v>351</v>
      </c>
      <c r="B20" s="272" t="s">
        <v>427</v>
      </c>
      <c r="C20" s="293">
        <v>0.14000000000000001</v>
      </c>
      <c r="D20" s="349"/>
      <c r="E20" s="271">
        <v>16</v>
      </c>
      <c r="F20" s="272" t="str">
        <f ca="1">IFERROR(__xludf.DUMMYFUNCTION("IMPORTXML($E$5,""//*[@id='right']/table/tbody/tr[""&amp;E20&amp;""]/td[""&amp;$F$5&amp;""]"")"),"🇭🇺 ")</f>
        <v xml:space="preserve">🇭🇺 </v>
      </c>
      <c r="G20" s="272" t="str">
        <f ca="1">IFERROR(__xludf.DUMMYFUNCTION("""COMPUTED_VALUE"""),"Hungary")</f>
        <v>Hungary</v>
      </c>
      <c r="H20" s="278">
        <f ca="1">IFERROR(__xludf.DUMMYFUNCTION("IMPORTXML($E$5,""//*[@id='right']/table/tbody/tr[""&amp;E20&amp;""]/td[""&amp;$H$5&amp;""]"")"),93.82)</f>
        <v>93.82</v>
      </c>
      <c r="I20" s="278">
        <f t="shared" ca="1" si="0"/>
        <v>9.3819999999999987E-2</v>
      </c>
      <c r="J20" s="278">
        <v>0.14153333333333332</v>
      </c>
      <c r="K20" s="502"/>
      <c r="L20" s="349"/>
      <c r="M20" s="369"/>
      <c r="N20" s="349"/>
      <c r="O20" s="265"/>
      <c r="P20" s="266"/>
      <c r="Q20" s="266"/>
      <c r="R20" s="267"/>
      <c r="S20" s="349"/>
      <c r="T20" s="283" t="s">
        <v>428</v>
      </c>
      <c r="U20" s="503" t="s">
        <v>429</v>
      </c>
      <c r="V20" s="465"/>
      <c r="W20" s="465"/>
      <c r="X20" s="465"/>
      <c r="Y20" s="465"/>
      <c r="Z20" s="465"/>
      <c r="AA20" s="465"/>
      <c r="AB20" s="465"/>
      <c r="AC20" s="465"/>
      <c r="AD20" s="466"/>
    </row>
    <row r="21" spans="1:30" ht="35.25" customHeight="1">
      <c r="A21" s="272" t="s">
        <v>351</v>
      </c>
      <c r="B21" s="272" t="s">
        <v>430</v>
      </c>
      <c r="C21" s="293">
        <v>0.15</v>
      </c>
      <c r="D21" s="349"/>
      <c r="E21" s="271">
        <v>17</v>
      </c>
      <c r="F21" s="272" t="str">
        <f ca="1">IFERROR(__xludf.DUMMYFUNCTION("IMPORTXML($E$5,""//*[@id='right']/table/tbody/tr[""&amp;E21&amp;""]/td[""&amp;$F$5&amp;""]"")"),"🇮🇹 ")</f>
        <v xml:space="preserve">🇮🇹 </v>
      </c>
      <c r="G21" s="272" t="str">
        <f ca="1">IFERROR(__xludf.DUMMYFUNCTION("""COMPUTED_VALUE"""),"Italy")</f>
        <v>Italy</v>
      </c>
      <c r="H21" s="278">
        <f ca="1">IFERROR(__xludf.DUMMYFUNCTION("IMPORTXML($E$5,""//*[@id='right']/table/tbody/tr[""&amp;E21&amp;""]/td[""&amp;$H$5&amp;""]"")"),104.09)</f>
        <v>104.09</v>
      </c>
      <c r="I21" s="278">
        <f t="shared" ca="1" si="0"/>
        <v>0.10409</v>
      </c>
      <c r="J21" s="278">
        <v>0.15713333333333332</v>
      </c>
      <c r="K21" s="502"/>
      <c r="L21" s="349"/>
      <c r="M21" s="369"/>
      <c r="N21" s="349"/>
      <c r="O21" s="294" t="s">
        <v>431</v>
      </c>
      <c r="P21" s="509" t="s">
        <v>432</v>
      </c>
      <c r="Q21" s="465"/>
      <c r="R21" s="497"/>
      <c r="S21" s="349"/>
      <c r="T21" s="283" t="s">
        <v>433</v>
      </c>
      <c r="U21" s="503" t="s">
        <v>434</v>
      </c>
      <c r="V21" s="465"/>
      <c r="W21" s="465"/>
      <c r="X21" s="465"/>
      <c r="Y21" s="465"/>
      <c r="Z21" s="465"/>
      <c r="AA21" s="465"/>
      <c r="AB21" s="465"/>
      <c r="AC21" s="465"/>
      <c r="AD21" s="466"/>
    </row>
    <row r="22" spans="1:30" ht="35.25" customHeight="1">
      <c r="A22" s="272" t="s">
        <v>351</v>
      </c>
      <c r="B22" s="272" t="s">
        <v>435</v>
      </c>
      <c r="C22" s="293">
        <v>0.06</v>
      </c>
      <c r="D22" s="349"/>
      <c r="E22" s="271">
        <v>18</v>
      </c>
      <c r="F22" s="272" t="str">
        <f ca="1">IFERROR(__xludf.DUMMYFUNCTION("IMPORTXML($E$5,""//*[@id='right']/table/tbody/tr[""&amp;E22&amp;""]/td[""&amp;$F$5&amp;""]"")"),"🇱🇹 ")</f>
        <v xml:space="preserve">🇱🇹 </v>
      </c>
      <c r="G22" s="272" t="str">
        <f ca="1">IFERROR(__xludf.DUMMYFUNCTION("""COMPUTED_VALUE"""),"Lithuania")</f>
        <v>Lithuania</v>
      </c>
      <c r="H22" s="278">
        <f ca="1">IFERROR(__xludf.DUMMYFUNCTION("IMPORTXML($E$5,""//*[@id='right']/table/tbody/tr[""&amp;E22&amp;""]/td[""&amp;$H$5&amp;""]"")"),97.9)</f>
        <v>97.9</v>
      </c>
      <c r="I22" s="278">
        <f t="shared" ca="1" si="0"/>
        <v>9.7900000000000001E-2</v>
      </c>
      <c r="J22" s="278">
        <v>0.11836666666666666</v>
      </c>
      <c r="K22" s="502"/>
      <c r="L22" s="349"/>
      <c r="M22" s="369"/>
      <c r="N22" s="349"/>
      <c r="O22" s="330"/>
      <c r="P22" s="468"/>
      <c r="Q22" s="468"/>
      <c r="R22" s="501"/>
      <c r="S22" s="349"/>
      <c r="T22" s="283" t="s">
        <v>436</v>
      </c>
      <c r="U22" s="503" t="s">
        <v>437</v>
      </c>
      <c r="V22" s="465"/>
      <c r="W22" s="465"/>
      <c r="X22" s="465"/>
      <c r="Y22" s="465"/>
      <c r="Z22" s="465"/>
      <c r="AA22" s="465"/>
      <c r="AB22" s="465"/>
      <c r="AC22" s="465"/>
      <c r="AD22" s="466"/>
    </row>
    <row r="23" spans="1:30" ht="35.25" customHeight="1">
      <c r="A23" s="272" t="s">
        <v>352</v>
      </c>
      <c r="B23" s="272" t="s">
        <v>438</v>
      </c>
      <c r="C23" s="293">
        <v>0.44</v>
      </c>
      <c r="D23" s="349"/>
      <c r="E23" s="271">
        <v>19</v>
      </c>
      <c r="F23" s="272" t="str">
        <f ca="1">IFERROR(__xludf.DUMMYFUNCTION("IMPORTXML($E$5,""//*[@id='right']/table/tbody/tr[""&amp;E23&amp;""]/td[""&amp;$F$5&amp;""]"")"),"🇱🇻 ")</f>
        <v xml:space="preserve">🇱🇻 </v>
      </c>
      <c r="G23" s="272" t="str">
        <f ca="1">IFERROR(__xludf.DUMMYFUNCTION("""COMPUTED_VALUE"""),"Latvia")</f>
        <v>Latvia</v>
      </c>
      <c r="H23" s="278">
        <f ca="1">IFERROR(__xludf.DUMMYFUNCTION("IMPORTXML($E$5,""//*[@id='right']/table/tbody/tr[""&amp;E23&amp;""]/td[""&amp;$H$5&amp;""]"")"),97.9)</f>
        <v>97.9</v>
      </c>
      <c r="I23" s="278">
        <f t="shared" ca="1" si="0"/>
        <v>9.7900000000000001E-2</v>
      </c>
      <c r="J23" s="278">
        <v>0.11670000000000001</v>
      </c>
      <c r="K23" s="502"/>
      <c r="L23" s="349"/>
      <c r="M23" s="369"/>
      <c r="N23" s="349"/>
      <c r="O23" s="368"/>
      <c r="P23" s="349"/>
      <c r="Q23" s="349"/>
      <c r="R23" s="369"/>
      <c r="S23" s="349"/>
      <c r="T23" s="283" t="s">
        <v>439</v>
      </c>
      <c r="U23" s="503" t="s">
        <v>440</v>
      </c>
      <c r="V23" s="465"/>
      <c r="W23" s="465"/>
      <c r="X23" s="465"/>
      <c r="Y23" s="465"/>
      <c r="Z23" s="465"/>
      <c r="AA23" s="465"/>
      <c r="AB23" s="465"/>
      <c r="AC23" s="465"/>
      <c r="AD23" s="466"/>
    </row>
    <row r="24" spans="1:30" ht="35.25" customHeight="1">
      <c r="A24" s="272" t="s">
        <v>352</v>
      </c>
      <c r="B24" s="272" t="s">
        <v>441</v>
      </c>
      <c r="C24" s="293">
        <v>0.15</v>
      </c>
      <c r="D24" s="349"/>
      <c r="E24" s="271">
        <v>20</v>
      </c>
      <c r="F24" s="272" t="str">
        <f ca="1">IFERROR(__xludf.DUMMYFUNCTION("IMPORTXML($E$5,""//*[@id='right']/table/tbody/tr[""&amp;E24&amp;""]/td[""&amp;$F$5&amp;""]"")"),"🇳🇱 ")</f>
        <v xml:space="preserve">🇳🇱 </v>
      </c>
      <c r="G24" s="272" t="str">
        <f ca="1">IFERROR(__xludf.DUMMYFUNCTION("""COMPUTED_VALUE"""),"Netherlands")</f>
        <v>Netherlands</v>
      </c>
      <c r="H24" s="278">
        <f ca="1">IFERROR(__xludf.DUMMYFUNCTION("IMPORTXML($E$5,""//*[@id='right']/table/tbody/tr[""&amp;E24&amp;""]/td[""&amp;$H$5&amp;""]"")"),93.23)</f>
        <v>93.23</v>
      </c>
      <c r="I24" s="278">
        <f t="shared" ca="1" si="0"/>
        <v>9.3230000000000007E-2</v>
      </c>
      <c r="J24" s="278">
        <v>0.12570000000000001</v>
      </c>
      <c r="K24" s="502"/>
      <c r="L24" s="349"/>
      <c r="M24" s="369"/>
      <c r="N24" s="349"/>
      <c r="O24" s="368"/>
      <c r="P24" s="349"/>
      <c r="Q24" s="349"/>
      <c r="R24" s="369"/>
      <c r="S24" s="349"/>
      <c r="T24" s="329" t="s">
        <v>442</v>
      </c>
      <c r="U24" s="468"/>
      <c r="V24" s="468"/>
      <c r="W24" s="468"/>
      <c r="X24" s="468"/>
      <c r="Y24" s="468"/>
      <c r="Z24" s="468"/>
      <c r="AA24" s="468"/>
      <c r="AB24" s="468"/>
      <c r="AC24" s="468"/>
      <c r="AD24" s="469"/>
    </row>
    <row r="25" spans="1:30" ht="35.25" customHeight="1">
      <c r="A25" s="272" t="s">
        <v>352</v>
      </c>
      <c r="B25" s="272" t="s">
        <v>443</v>
      </c>
      <c r="C25" s="293">
        <v>0.05</v>
      </c>
      <c r="D25" s="349"/>
      <c r="E25" s="271">
        <v>21</v>
      </c>
      <c r="F25" s="272" t="str">
        <f ca="1">IFERROR(__xludf.DUMMYFUNCTION("IMPORTXML($E$5,""//*[@id='right']/table/tbody/tr[""&amp;E25&amp;""]/td[""&amp;$F$5&amp;""]"")"),"🇳🇴 ")</f>
        <v xml:space="preserve">🇳🇴 </v>
      </c>
      <c r="G25" s="272" t="str">
        <f ca="1">IFERROR(__xludf.DUMMYFUNCTION("""COMPUTED_VALUE"""),"Norway")</f>
        <v>Norway</v>
      </c>
      <c r="H25" s="278">
        <f ca="1">IFERROR(__xludf.DUMMYFUNCTION("IMPORTXML($E$5,""//*[@id='right']/table/tbody/tr[""&amp;E25&amp;""]/td[""&amp;$H$5&amp;""]"")"),74.06)</f>
        <v>74.06</v>
      </c>
      <c r="I25" s="278">
        <f t="shared" ca="1" si="0"/>
        <v>7.4060000000000001E-2</v>
      </c>
      <c r="J25" s="278">
        <v>9.2166666666666675E-2</v>
      </c>
      <c r="K25" s="502"/>
      <c r="L25" s="349"/>
      <c r="M25" s="369"/>
      <c r="N25" s="349"/>
      <c r="O25" s="368"/>
      <c r="P25" s="349"/>
      <c r="Q25" s="349"/>
      <c r="R25" s="369"/>
      <c r="S25" s="349"/>
      <c r="T25" s="506"/>
      <c r="U25" s="507"/>
      <c r="V25" s="507"/>
      <c r="W25" s="507"/>
      <c r="X25" s="507"/>
      <c r="Y25" s="507"/>
      <c r="Z25" s="507"/>
      <c r="AA25" s="507"/>
      <c r="AB25" s="507"/>
      <c r="AC25" s="507"/>
      <c r="AD25" s="508"/>
    </row>
    <row r="26" spans="1:30" ht="35.25" customHeight="1">
      <c r="A26" s="272" t="s">
        <v>346</v>
      </c>
      <c r="B26" s="272" t="s">
        <v>444</v>
      </c>
      <c r="C26" s="293">
        <v>0.11</v>
      </c>
      <c r="D26" s="349"/>
      <c r="E26" s="271">
        <v>22</v>
      </c>
      <c r="F26" s="272" t="str">
        <f ca="1">IFERROR(__xludf.DUMMYFUNCTION("IMPORTXML($E$5,""//*[@id='right']/table/tbody/tr[""&amp;E26&amp;""]/td[""&amp;$F$5&amp;""]"")"),"🇳🇴 ")</f>
        <v xml:space="preserve">🇳🇴 </v>
      </c>
      <c r="G26" s="272" t="str">
        <f ca="1">IFERROR(__xludf.DUMMYFUNCTION("""COMPUTED_VALUE"""),"Norway")</f>
        <v>Norway</v>
      </c>
      <c r="H26" s="278">
        <f ca="1">IFERROR(__xludf.DUMMYFUNCTION("IMPORTXML($E$5,""//*[@id='right']/table/tbody/tr[""&amp;E26&amp;""]/td[""&amp;$H$5&amp;""]"")"),74.18)</f>
        <v>74.180000000000007</v>
      </c>
      <c r="I26" s="278">
        <f t="shared" ca="1" si="0"/>
        <v>7.418000000000001E-2</v>
      </c>
      <c r="J26" s="278">
        <v>9.2166666666666675E-2</v>
      </c>
      <c r="K26" s="502"/>
      <c r="L26" s="349"/>
      <c r="M26" s="369"/>
      <c r="N26" s="349"/>
      <c r="O26" s="368"/>
      <c r="P26" s="349"/>
      <c r="Q26" s="349"/>
      <c r="R26" s="369"/>
      <c r="S26" s="349"/>
      <c r="T26" s="283" t="s">
        <v>445</v>
      </c>
      <c r="U26" s="503" t="s">
        <v>446</v>
      </c>
      <c r="V26" s="465"/>
      <c r="W26" s="465"/>
      <c r="X26" s="465"/>
      <c r="Y26" s="465"/>
      <c r="Z26" s="465"/>
      <c r="AA26" s="465"/>
      <c r="AB26" s="465"/>
      <c r="AC26" s="465"/>
      <c r="AD26" s="466"/>
    </row>
    <row r="27" spans="1:30" ht="35.25" customHeight="1">
      <c r="A27" s="272" t="s">
        <v>346</v>
      </c>
      <c r="B27" s="272" t="s">
        <v>447</v>
      </c>
      <c r="C27" s="293">
        <v>0.06</v>
      </c>
      <c r="D27" s="349"/>
      <c r="E27" s="271">
        <v>23</v>
      </c>
      <c r="F27" s="272" t="str">
        <f ca="1">IFERROR(__xludf.DUMMYFUNCTION("IMPORTXML($E$5,""//*[@id='right']/table/tbody/tr[""&amp;E27&amp;""]/td[""&amp;$F$5&amp;""]"")"),"🇳🇴 ")</f>
        <v xml:space="preserve">🇳🇴 </v>
      </c>
      <c r="G27" s="272" t="str">
        <f ca="1">IFERROR(__xludf.DUMMYFUNCTION("""COMPUTED_VALUE"""),"Norway")</f>
        <v>Norway</v>
      </c>
      <c r="H27" s="278">
        <f ca="1">IFERROR(__xludf.DUMMYFUNCTION("IMPORTXML($E$5,""//*[@id='right']/table/tbody/tr[""&amp;E27&amp;""]/td[""&amp;$H$5&amp;""]"")"),71.61)</f>
        <v>71.61</v>
      </c>
      <c r="I27" s="278">
        <f t="shared" ca="1" si="0"/>
        <v>7.1609999999999993E-2</v>
      </c>
      <c r="J27" s="278">
        <v>9.2166666666666675E-2</v>
      </c>
      <c r="K27" s="502"/>
      <c r="L27" s="349"/>
      <c r="M27" s="369"/>
      <c r="N27" s="349"/>
      <c r="O27" s="368"/>
      <c r="P27" s="349"/>
      <c r="Q27" s="349"/>
      <c r="R27" s="369"/>
      <c r="S27" s="349"/>
      <c r="T27" s="283" t="s">
        <v>448</v>
      </c>
      <c r="U27" s="503" t="s">
        <v>449</v>
      </c>
      <c r="V27" s="465"/>
      <c r="W27" s="465"/>
      <c r="X27" s="465"/>
      <c r="Y27" s="465"/>
      <c r="Z27" s="465"/>
      <c r="AA27" s="465"/>
      <c r="AB27" s="465"/>
      <c r="AC27" s="465"/>
      <c r="AD27" s="466"/>
    </row>
    <row r="28" spans="1:30" ht="35.25" customHeight="1">
      <c r="A28" s="272" t="s">
        <v>349</v>
      </c>
      <c r="B28" s="272" t="s">
        <v>450</v>
      </c>
      <c r="C28" s="293">
        <v>0.18</v>
      </c>
      <c r="D28" s="349"/>
      <c r="E28" s="271">
        <v>24</v>
      </c>
      <c r="F28" s="272" t="str">
        <f ca="1">IFERROR(__xludf.DUMMYFUNCTION("IMPORTXML($E$5,""//*[@id='right']/table/tbody/tr[""&amp;E28&amp;""]/td[""&amp;$F$5&amp;""]"")"),"🇳🇴 ")</f>
        <v xml:space="preserve">🇳🇴 </v>
      </c>
      <c r="G28" s="272" t="str">
        <f ca="1">IFERROR(__xludf.DUMMYFUNCTION("""COMPUTED_VALUE"""),"Norway")</f>
        <v>Norway</v>
      </c>
      <c r="H28" s="278">
        <f ca="1">IFERROR(__xludf.DUMMYFUNCTION("IMPORTXML($E$5,""//*[@id='right']/table/tbody/tr[""&amp;E28&amp;""]/td[""&amp;$H$5&amp;""]"")"),33.11)</f>
        <v>33.11</v>
      </c>
      <c r="I28" s="278">
        <f t="shared" ca="1" si="0"/>
        <v>3.3110000000000001E-2</v>
      </c>
      <c r="J28" s="278">
        <v>9.2166666666666675E-2</v>
      </c>
      <c r="K28" s="502"/>
      <c r="L28" s="349"/>
      <c r="M28" s="369"/>
      <c r="N28" s="349"/>
      <c r="O28" s="368"/>
      <c r="P28" s="349"/>
      <c r="Q28" s="349"/>
      <c r="R28" s="369"/>
      <c r="S28" s="349"/>
      <c r="T28" s="283" t="s">
        <v>451</v>
      </c>
      <c r="U28" s="503" t="s">
        <v>452</v>
      </c>
      <c r="V28" s="465"/>
      <c r="W28" s="465"/>
      <c r="X28" s="465"/>
      <c r="Y28" s="465"/>
      <c r="Z28" s="465"/>
      <c r="AA28" s="465"/>
      <c r="AB28" s="465"/>
      <c r="AC28" s="465"/>
      <c r="AD28" s="466"/>
    </row>
    <row r="29" spans="1:30" ht="35.25" customHeight="1">
      <c r="A29" s="272" t="s">
        <v>349</v>
      </c>
      <c r="B29" s="272" t="s">
        <v>453</v>
      </c>
      <c r="C29" s="293">
        <v>0.193</v>
      </c>
      <c r="D29" s="349"/>
      <c r="E29" s="271">
        <v>25</v>
      </c>
      <c r="F29" s="272" t="str">
        <f ca="1">IFERROR(__xludf.DUMMYFUNCTION("IMPORTXML($E$5,""//*[@id='right']/table/tbody/tr[""&amp;E29&amp;""]/td[""&amp;$F$5&amp;""]"")"),"🇳🇴 ")</f>
        <v xml:space="preserve">🇳🇴 </v>
      </c>
      <c r="G29" s="272" t="str">
        <f ca="1">IFERROR(__xludf.DUMMYFUNCTION("""COMPUTED_VALUE"""),"Norway")</f>
        <v>Norway</v>
      </c>
      <c r="H29" s="278">
        <f ca="1">IFERROR(__xludf.DUMMYFUNCTION("IMPORTXML($E$5,""//*[@id='right']/table/tbody/tr[""&amp;E29&amp;""]/td[""&amp;$H$5&amp;""]"")"),74.06)</f>
        <v>74.06</v>
      </c>
      <c r="I29" s="278">
        <f t="shared" ca="1" si="0"/>
        <v>7.4060000000000001E-2</v>
      </c>
      <c r="J29" s="278">
        <v>9.2166666666666675E-2</v>
      </c>
      <c r="K29" s="502"/>
      <c r="L29" s="349"/>
      <c r="M29" s="369"/>
      <c r="N29" s="349"/>
      <c r="O29" s="368"/>
      <c r="P29" s="349"/>
      <c r="Q29" s="349"/>
      <c r="R29" s="369"/>
      <c r="S29" s="349"/>
      <c r="T29" s="283" t="s">
        <v>454</v>
      </c>
      <c r="U29" s="503" t="s">
        <v>455</v>
      </c>
      <c r="V29" s="465"/>
      <c r="W29" s="465"/>
      <c r="X29" s="465"/>
      <c r="Y29" s="465"/>
      <c r="Z29" s="465"/>
      <c r="AA29" s="465"/>
      <c r="AB29" s="465"/>
      <c r="AC29" s="465"/>
      <c r="AD29" s="466"/>
    </row>
    <row r="30" spans="1:30" ht="35.25" customHeight="1">
      <c r="A30" s="272" t="s">
        <v>350</v>
      </c>
      <c r="B30" s="272" t="s">
        <v>456</v>
      </c>
      <c r="C30" s="293">
        <v>0.17699999999999999</v>
      </c>
      <c r="D30" s="349"/>
      <c r="E30" s="271">
        <v>26</v>
      </c>
      <c r="F30" s="272" t="str">
        <f ca="1">IFERROR(__xludf.DUMMYFUNCTION("IMPORTXML($E$5,""//*[@id='right']/table/tbody/tr[""&amp;E30&amp;""]/td[""&amp;$F$5&amp;""]"")"),"🇵🇱 ")</f>
        <v xml:space="preserve">🇵🇱 </v>
      </c>
      <c r="G30" s="272" t="str">
        <f ca="1">IFERROR(__xludf.DUMMYFUNCTION("""COMPUTED_VALUE"""),"Poland")</f>
        <v>Poland</v>
      </c>
      <c r="H30" s="278">
        <f ca="1">IFERROR(__xludf.DUMMYFUNCTION("IMPORTXML($E$5,""//*[@id='right']/table/tbody/tr[""&amp;E30&amp;""]/td[""&amp;$H$5&amp;""]"")"),99.5)</f>
        <v>99.5</v>
      </c>
      <c r="I30" s="278">
        <f t="shared" ca="1" si="0"/>
        <v>9.9500000000000005E-2</v>
      </c>
      <c r="J30" s="278">
        <v>0.10013333333333334</v>
      </c>
      <c r="K30" s="502"/>
      <c r="L30" s="349"/>
      <c r="M30" s="369"/>
      <c r="N30" s="349"/>
      <c r="O30" s="368"/>
      <c r="P30" s="349"/>
      <c r="Q30" s="349"/>
      <c r="R30" s="369"/>
      <c r="S30" s="349"/>
      <c r="T30" s="329" t="s">
        <v>457</v>
      </c>
      <c r="U30" s="468"/>
      <c r="V30" s="468"/>
      <c r="W30" s="468"/>
      <c r="X30" s="468"/>
      <c r="Y30" s="468"/>
      <c r="Z30" s="468"/>
      <c r="AA30" s="468"/>
      <c r="AB30" s="468"/>
      <c r="AC30" s="468"/>
      <c r="AD30" s="469"/>
    </row>
    <row r="31" spans="1:30" ht="35.25" customHeight="1">
      <c r="A31" s="272" t="s">
        <v>350</v>
      </c>
      <c r="B31" s="272" t="s">
        <v>458</v>
      </c>
      <c r="C31" s="293">
        <v>0.27</v>
      </c>
      <c r="D31" s="349"/>
      <c r="E31" s="271">
        <v>27</v>
      </c>
      <c r="F31" s="272" t="str">
        <f ca="1">IFERROR(__xludf.DUMMYFUNCTION("IMPORTXML($E$5,""//*[@id='right']/table/tbody/tr[""&amp;E31&amp;""]/td[""&amp;$F$5&amp;""]"")"),"🇵🇹 ")</f>
        <v xml:space="preserve">🇵🇹 </v>
      </c>
      <c r="G31" s="272" t="str">
        <f ca="1">IFERROR(__xludf.DUMMYFUNCTION("""COMPUTED_VALUE"""),"Portugal")</f>
        <v>Portugal</v>
      </c>
      <c r="H31" s="278">
        <f ca="1">IFERROR(__xludf.DUMMYFUNCTION("IMPORTXML($E$5,""//*[@id='right']/table/tbody/tr[""&amp;E31&amp;""]/td[""&amp;$H$5&amp;""]"")"),3.88)</f>
        <v>3.88</v>
      </c>
      <c r="I31" s="278">
        <f t="shared" ca="1" si="0"/>
        <v>3.8799999999999998E-3</v>
      </c>
      <c r="J31" s="278">
        <v>0.10463333333333334</v>
      </c>
      <c r="K31" s="502"/>
      <c r="L31" s="349"/>
      <c r="M31" s="369"/>
      <c r="N31" s="349"/>
      <c r="O31" s="368"/>
      <c r="P31" s="349"/>
      <c r="Q31" s="349"/>
      <c r="R31" s="369"/>
      <c r="S31" s="349"/>
      <c r="T31" s="506"/>
      <c r="U31" s="507"/>
      <c r="V31" s="507"/>
      <c r="W31" s="507"/>
      <c r="X31" s="507"/>
      <c r="Y31" s="507"/>
      <c r="Z31" s="507"/>
      <c r="AA31" s="507"/>
      <c r="AB31" s="507"/>
      <c r="AC31" s="507"/>
      <c r="AD31" s="508"/>
    </row>
    <row r="32" spans="1:30" ht="35.25" customHeight="1">
      <c r="A32" s="272" t="s">
        <v>350</v>
      </c>
      <c r="B32" s="272" t="s">
        <v>459</v>
      </c>
      <c r="C32" s="293">
        <v>0.27</v>
      </c>
      <c r="D32" s="349"/>
      <c r="E32" s="282">
        <v>28</v>
      </c>
      <c r="F32" s="295" t="str">
        <f ca="1">IFERROR(__xludf.DUMMYFUNCTION("IMPORTXML($E$5,""//*[@id='right']/table/tbody/tr[""&amp;E32&amp;""]/td[""&amp;$F$5&amp;""]"")"),"🇷🇴 ")</f>
        <v xml:space="preserve">🇷🇴 </v>
      </c>
      <c r="G32" s="295" t="str">
        <f ca="1">IFERROR(__xludf.DUMMYFUNCTION("""COMPUTED_VALUE"""),"Romania")</f>
        <v>Romania</v>
      </c>
      <c r="H32" s="296">
        <f ca="1">IFERROR(__xludf.DUMMYFUNCTION("IMPORTXML($E$5,""//*[@id='right']/table/tbody/tr[""&amp;E32&amp;""]/td[""&amp;$H$5&amp;""]"")"),93.62)</f>
        <v>93.62</v>
      </c>
      <c r="I32" s="296">
        <f t="shared" ca="1" si="0"/>
        <v>9.3620000000000009E-2</v>
      </c>
      <c r="J32" s="296">
        <v>0.13876666666666668</v>
      </c>
      <c r="K32" s="510"/>
      <c r="L32" s="383"/>
      <c r="M32" s="384"/>
      <c r="N32" s="349"/>
      <c r="O32" s="382"/>
      <c r="P32" s="383"/>
      <c r="Q32" s="383"/>
      <c r="R32" s="384"/>
      <c r="S32" s="349"/>
      <c r="T32" s="283" t="s">
        <v>460</v>
      </c>
      <c r="U32" s="503" t="s">
        <v>461</v>
      </c>
      <c r="V32" s="465"/>
      <c r="W32" s="465"/>
      <c r="X32" s="465"/>
      <c r="Y32" s="465"/>
      <c r="Z32" s="465"/>
      <c r="AA32" s="465"/>
      <c r="AB32" s="465"/>
      <c r="AC32" s="465"/>
      <c r="AD32" s="466"/>
    </row>
    <row r="33" spans="1:30" ht="21.75" customHeight="1">
      <c r="A33" s="272" t="s">
        <v>356</v>
      </c>
      <c r="B33" s="272" t="s">
        <v>462</v>
      </c>
      <c r="C33" s="293">
        <v>0.12</v>
      </c>
      <c r="D33" s="337"/>
      <c r="E33" s="349"/>
      <c r="F33" s="349"/>
      <c r="G33" s="349"/>
      <c r="H33" s="349"/>
      <c r="I33" s="349"/>
      <c r="J33" s="349"/>
      <c r="K33" s="349"/>
      <c r="L33" s="349"/>
      <c r="M33" s="349"/>
      <c r="N33" s="349"/>
      <c r="O33" s="349"/>
      <c r="P33" s="349"/>
      <c r="Q33" s="349"/>
      <c r="R33" s="349"/>
      <c r="S33" s="349"/>
      <c r="T33" s="283" t="s">
        <v>463</v>
      </c>
      <c r="U33" s="503" t="s">
        <v>464</v>
      </c>
      <c r="V33" s="465"/>
      <c r="W33" s="465"/>
      <c r="X33" s="465"/>
      <c r="Y33" s="465"/>
      <c r="Z33" s="465"/>
      <c r="AA33" s="465"/>
      <c r="AB33" s="465"/>
      <c r="AC33" s="465"/>
      <c r="AD33" s="466"/>
    </row>
    <row r="34" spans="1:30" ht="21.75" customHeight="1">
      <c r="A34" s="272" t="s">
        <v>356</v>
      </c>
      <c r="B34" s="272" t="s">
        <v>465</v>
      </c>
      <c r="C34" s="293">
        <v>5.8999999999999997E-2</v>
      </c>
      <c r="D34" s="349"/>
      <c r="E34" s="349"/>
      <c r="F34" s="349"/>
      <c r="G34" s="349"/>
      <c r="H34" s="349"/>
      <c r="I34" s="349"/>
      <c r="J34" s="349"/>
      <c r="K34" s="349"/>
      <c r="L34" s="349"/>
      <c r="M34" s="349"/>
      <c r="N34" s="349"/>
      <c r="O34" s="349"/>
      <c r="P34" s="349"/>
      <c r="Q34" s="349"/>
      <c r="R34" s="349"/>
      <c r="S34" s="349"/>
      <c r="T34" s="283" t="s">
        <v>466</v>
      </c>
      <c r="U34" s="503" t="s">
        <v>467</v>
      </c>
      <c r="V34" s="465"/>
      <c r="W34" s="465"/>
      <c r="X34" s="465"/>
      <c r="Y34" s="465"/>
      <c r="Z34" s="465"/>
      <c r="AA34" s="465"/>
      <c r="AB34" s="465"/>
      <c r="AC34" s="465"/>
      <c r="AD34" s="466"/>
    </row>
    <row r="35" spans="1:30" ht="21.75" customHeight="1">
      <c r="A35" s="272" t="s">
        <v>356</v>
      </c>
      <c r="B35" s="272" t="s">
        <v>468</v>
      </c>
      <c r="C35" s="293">
        <v>0.245</v>
      </c>
      <c r="D35" s="349"/>
      <c r="E35" s="349"/>
      <c r="F35" s="349"/>
      <c r="G35" s="349"/>
      <c r="H35" s="349"/>
      <c r="I35" s="349"/>
      <c r="J35" s="349"/>
      <c r="K35" s="349"/>
      <c r="L35" s="349"/>
      <c r="M35" s="349"/>
      <c r="N35" s="349"/>
      <c r="O35" s="349"/>
      <c r="P35" s="349"/>
      <c r="Q35" s="349"/>
      <c r="R35" s="349"/>
      <c r="S35" s="349"/>
      <c r="T35" s="283" t="s">
        <v>469</v>
      </c>
      <c r="U35" s="503" t="s">
        <v>470</v>
      </c>
      <c r="V35" s="465"/>
      <c r="W35" s="465"/>
      <c r="X35" s="465"/>
      <c r="Y35" s="465"/>
      <c r="Z35" s="465"/>
      <c r="AA35" s="465"/>
      <c r="AB35" s="465"/>
      <c r="AC35" s="465"/>
      <c r="AD35" s="466"/>
    </row>
    <row r="36" spans="1:30" ht="21.75" customHeight="1">
      <c r="A36" s="272" t="s">
        <v>356</v>
      </c>
      <c r="B36" s="272" t="s">
        <v>471</v>
      </c>
      <c r="C36" s="293">
        <v>0.12</v>
      </c>
      <c r="D36" s="349"/>
      <c r="E36" s="349"/>
      <c r="F36" s="349"/>
      <c r="G36" s="349"/>
      <c r="H36" s="349"/>
      <c r="I36" s="349"/>
      <c r="J36" s="349"/>
      <c r="K36" s="349"/>
      <c r="L36" s="349"/>
      <c r="M36" s="349"/>
      <c r="N36" s="349"/>
      <c r="O36" s="349"/>
      <c r="P36" s="349"/>
      <c r="Q36" s="349"/>
      <c r="R36" s="349"/>
      <c r="S36" s="349"/>
      <c r="T36" s="283" t="s">
        <v>472</v>
      </c>
      <c r="U36" s="503" t="s">
        <v>473</v>
      </c>
      <c r="V36" s="465"/>
      <c r="W36" s="465"/>
      <c r="X36" s="465"/>
      <c r="Y36" s="465"/>
      <c r="Z36" s="465"/>
      <c r="AA36" s="465"/>
      <c r="AB36" s="465"/>
      <c r="AC36" s="465"/>
      <c r="AD36" s="466"/>
    </row>
    <row r="37" spans="1:30" ht="21.75" customHeight="1">
      <c r="A37" s="272" t="s">
        <v>356</v>
      </c>
      <c r="B37" s="272" t="s">
        <v>471</v>
      </c>
      <c r="C37" s="293">
        <v>0.10299999999999999</v>
      </c>
      <c r="D37" s="349"/>
      <c r="E37" s="349"/>
      <c r="F37" s="349"/>
      <c r="G37" s="349"/>
      <c r="H37" s="349"/>
      <c r="I37" s="349"/>
      <c r="J37" s="349"/>
      <c r="K37" s="349"/>
      <c r="L37" s="349"/>
      <c r="M37" s="349"/>
      <c r="N37" s="349"/>
      <c r="O37" s="349"/>
      <c r="P37" s="349"/>
      <c r="Q37" s="349"/>
      <c r="R37" s="349"/>
      <c r="S37" s="349"/>
      <c r="T37" s="329" t="s">
        <v>474</v>
      </c>
      <c r="U37" s="468"/>
      <c r="V37" s="468"/>
      <c r="W37" s="468"/>
      <c r="X37" s="468"/>
      <c r="Y37" s="468"/>
      <c r="Z37" s="468"/>
      <c r="AA37" s="468"/>
      <c r="AB37" s="468"/>
      <c r="AC37" s="468"/>
      <c r="AD37" s="469"/>
    </row>
    <row r="38" spans="1:30" ht="21.75" customHeight="1">
      <c r="A38" s="272" t="s">
        <v>356</v>
      </c>
      <c r="B38" s="272" t="s">
        <v>475</v>
      </c>
      <c r="C38" s="293">
        <v>0.05</v>
      </c>
      <c r="D38" s="349"/>
      <c r="E38" s="349"/>
      <c r="F38" s="349"/>
      <c r="G38" s="349"/>
      <c r="H38" s="349"/>
      <c r="I38" s="349"/>
      <c r="J38" s="349"/>
      <c r="K38" s="349"/>
      <c r="L38" s="349"/>
      <c r="M38" s="349"/>
      <c r="N38" s="349"/>
      <c r="O38" s="349"/>
      <c r="P38" s="349"/>
      <c r="Q38" s="349"/>
      <c r="R38" s="349"/>
      <c r="S38" s="349"/>
      <c r="T38" s="506"/>
      <c r="U38" s="507"/>
      <c r="V38" s="507"/>
      <c r="W38" s="507"/>
      <c r="X38" s="507"/>
      <c r="Y38" s="507"/>
      <c r="Z38" s="507"/>
      <c r="AA38" s="507"/>
      <c r="AB38" s="507"/>
      <c r="AC38" s="507"/>
      <c r="AD38" s="508"/>
    </row>
    <row r="39" spans="1:30" ht="21.75" customHeight="1">
      <c r="A39" s="272" t="s">
        <v>356</v>
      </c>
      <c r="B39" s="272" t="s">
        <v>476</v>
      </c>
      <c r="C39" s="293">
        <v>0.03</v>
      </c>
      <c r="D39" s="349"/>
      <c r="E39" s="349"/>
      <c r="F39" s="349"/>
      <c r="G39" s="349"/>
      <c r="H39" s="349"/>
      <c r="I39" s="349"/>
      <c r="J39" s="349"/>
      <c r="K39" s="349"/>
      <c r="L39" s="349"/>
      <c r="M39" s="349"/>
      <c r="N39" s="349"/>
      <c r="O39" s="349"/>
      <c r="P39" s="349"/>
      <c r="Q39" s="349"/>
      <c r="R39" s="349"/>
      <c r="S39" s="349"/>
      <c r="T39" s="298" t="s">
        <v>477</v>
      </c>
      <c r="U39" s="503" t="s">
        <v>478</v>
      </c>
      <c r="V39" s="465"/>
      <c r="W39" s="465"/>
      <c r="X39" s="465"/>
      <c r="Y39" s="465"/>
      <c r="Z39" s="465"/>
      <c r="AA39" s="465"/>
      <c r="AB39" s="465"/>
      <c r="AC39" s="465"/>
      <c r="AD39" s="466"/>
    </row>
    <row r="40" spans="1:30" ht="21.75" customHeight="1">
      <c r="A40" s="272" t="s">
        <v>355</v>
      </c>
      <c r="B40" s="272" t="s">
        <v>479</v>
      </c>
      <c r="C40" s="293">
        <v>0.186</v>
      </c>
      <c r="D40" s="349"/>
      <c r="E40" s="349"/>
      <c r="F40" s="349"/>
      <c r="G40" s="349"/>
      <c r="H40" s="349"/>
      <c r="I40" s="349"/>
      <c r="J40" s="349"/>
      <c r="K40" s="349"/>
      <c r="L40" s="349"/>
      <c r="M40" s="349"/>
      <c r="N40" s="349"/>
      <c r="O40" s="349"/>
      <c r="P40" s="349"/>
      <c r="Q40" s="349"/>
      <c r="R40" s="349"/>
      <c r="S40" s="349"/>
      <c r="T40" s="283" t="s">
        <v>480</v>
      </c>
      <c r="U40" s="503" t="s">
        <v>481</v>
      </c>
      <c r="V40" s="465"/>
      <c r="W40" s="465"/>
      <c r="X40" s="465"/>
      <c r="Y40" s="465"/>
      <c r="Z40" s="465"/>
      <c r="AA40" s="465"/>
      <c r="AB40" s="465"/>
      <c r="AC40" s="465"/>
      <c r="AD40" s="466"/>
    </row>
    <row r="41" spans="1:30" ht="21.75" customHeight="1">
      <c r="A41" s="272" t="s">
        <v>355</v>
      </c>
      <c r="B41" s="272" t="s">
        <v>482</v>
      </c>
      <c r="C41" s="293">
        <v>0.214</v>
      </c>
      <c r="D41" s="349"/>
      <c r="E41" s="349"/>
      <c r="F41" s="349"/>
      <c r="G41" s="349"/>
      <c r="H41" s="349"/>
      <c r="I41" s="349"/>
      <c r="J41" s="349"/>
      <c r="K41" s="349"/>
      <c r="L41" s="349"/>
      <c r="M41" s="349"/>
      <c r="N41" s="349"/>
      <c r="O41" s="349"/>
      <c r="P41" s="349"/>
      <c r="Q41" s="349"/>
      <c r="R41" s="349"/>
      <c r="S41" s="349"/>
      <c r="T41" s="298" t="s">
        <v>483</v>
      </c>
      <c r="U41" s="503" t="s">
        <v>484</v>
      </c>
      <c r="V41" s="465"/>
      <c r="W41" s="465"/>
      <c r="X41" s="465"/>
      <c r="Y41" s="465"/>
      <c r="Z41" s="465"/>
      <c r="AA41" s="465"/>
      <c r="AB41" s="465"/>
      <c r="AC41" s="465"/>
      <c r="AD41" s="466"/>
    </row>
    <row r="42" spans="1:30" ht="21.75" customHeight="1">
      <c r="A42" s="272" t="s">
        <v>354</v>
      </c>
      <c r="B42" s="272" t="s">
        <v>485</v>
      </c>
      <c r="C42" s="293">
        <v>0.104</v>
      </c>
      <c r="D42" s="349"/>
      <c r="E42" s="349"/>
      <c r="F42" s="349"/>
      <c r="G42" s="349"/>
      <c r="H42" s="349"/>
      <c r="I42" s="349"/>
      <c r="J42" s="349"/>
      <c r="K42" s="349"/>
      <c r="L42" s="349"/>
      <c r="M42" s="349"/>
      <c r="N42" s="349"/>
      <c r="O42" s="349"/>
      <c r="P42" s="349"/>
      <c r="Q42" s="349"/>
      <c r="R42" s="349"/>
      <c r="S42" s="349"/>
      <c r="T42" s="283" t="s">
        <v>486</v>
      </c>
      <c r="U42" s="503" t="s">
        <v>487</v>
      </c>
      <c r="V42" s="465"/>
      <c r="W42" s="465"/>
      <c r="X42" s="465"/>
      <c r="Y42" s="465"/>
      <c r="Z42" s="465"/>
      <c r="AA42" s="465"/>
      <c r="AB42" s="465"/>
      <c r="AC42" s="465"/>
      <c r="AD42" s="466"/>
    </row>
    <row r="43" spans="1:30" ht="21.75" customHeight="1">
      <c r="A43" s="272" t="s">
        <v>354</v>
      </c>
      <c r="B43" s="272" t="s">
        <v>488</v>
      </c>
      <c r="C43" s="293">
        <v>0.2</v>
      </c>
      <c r="D43" s="349"/>
      <c r="E43" s="349"/>
      <c r="F43" s="349"/>
      <c r="G43" s="349"/>
      <c r="H43" s="349"/>
      <c r="I43" s="349"/>
      <c r="J43" s="349"/>
      <c r="K43" s="349"/>
      <c r="L43" s="349"/>
      <c r="M43" s="349"/>
      <c r="N43" s="349"/>
      <c r="O43" s="349"/>
      <c r="P43" s="349"/>
      <c r="Q43" s="349"/>
      <c r="R43" s="349"/>
      <c r="S43" s="349"/>
      <c r="T43" s="298" t="s">
        <v>489</v>
      </c>
      <c r="U43" s="503" t="s">
        <v>490</v>
      </c>
      <c r="V43" s="465"/>
      <c r="W43" s="465"/>
      <c r="X43" s="465"/>
      <c r="Y43" s="465"/>
      <c r="Z43" s="465"/>
      <c r="AA43" s="465"/>
      <c r="AB43" s="465"/>
      <c r="AC43" s="465"/>
      <c r="AD43" s="466"/>
    </row>
    <row r="44" spans="1:30" ht="21.75" customHeight="1">
      <c r="A44" s="272" t="s">
        <v>354</v>
      </c>
      <c r="B44" s="272" t="s">
        <v>491</v>
      </c>
      <c r="C44" s="293">
        <v>0.12</v>
      </c>
      <c r="D44" s="349"/>
      <c r="E44" s="349"/>
      <c r="F44" s="349"/>
      <c r="G44" s="349"/>
      <c r="H44" s="349"/>
      <c r="I44" s="349"/>
      <c r="J44" s="349"/>
      <c r="K44" s="349"/>
      <c r="L44" s="349"/>
      <c r="M44" s="349"/>
      <c r="N44" s="349"/>
      <c r="O44" s="349"/>
      <c r="P44" s="349"/>
      <c r="Q44" s="349"/>
      <c r="R44" s="349"/>
      <c r="S44" s="349"/>
      <c r="T44" s="283" t="s">
        <v>492</v>
      </c>
      <c r="U44" s="503" t="s">
        <v>493</v>
      </c>
      <c r="V44" s="465"/>
      <c r="W44" s="465"/>
      <c r="X44" s="465"/>
      <c r="Y44" s="465"/>
      <c r="Z44" s="465"/>
      <c r="AA44" s="465"/>
      <c r="AB44" s="465"/>
      <c r="AC44" s="465"/>
      <c r="AD44" s="466"/>
    </row>
    <row r="45" spans="1:30" ht="21.75" customHeight="1">
      <c r="A45" s="272" t="s">
        <v>354</v>
      </c>
      <c r="B45" s="272" t="s">
        <v>485</v>
      </c>
      <c r="C45" s="293">
        <v>0.08</v>
      </c>
      <c r="D45" s="349"/>
      <c r="E45" s="349"/>
      <c r="F45" s="349"/>
      <c r="G45" s="349"/>
      <c r="H45" s="349"/>
      <c r="I45" s="349"/>
      <c r="J45" s="349"/>
      <c r="K45" s="349"/>
      <c r="L45" s="349"/>
      <c r="M45" s="349"/>
      <c r="N45" s="349"/>
      <c r="O45" s="349"/>
      <c r="P45" s="349"/>
      <c r="Q45" s="349"/>
      <c r="R45" s="349"/>
      <c r="S45" s="349"/>
      <c r="T45" s="298" t="s">
        <v>494</v>
      </c>
      <c r="U45" s="503" t="s">
        <v>495</v>
      </c>
      <c r="V45" s="465"/>
      <c r="W45" s="465"/>
      <c r="X45" s="465"/>
      <c r="Y45" s="465"/>
      <c r="Z45" s="465"/>
      <c r="AA45" s="465"/>
      <c r="AB45" s="465"/>
      <c r="AC45" s="465"/>
      <c r="AD45" s="466"/>
    </row>
    <row r="46" spans="1:30" ht="21.75" customHeight="1">
      <c r="A46" s="272" t="s">
        <v>348</v>
      </c>
      <c r="B46" s="272" t="s">
        <v>496</v>
      </c>
      <c r="C46" s="293">
        <v>0.152</v>
      </c>
      <c r="D46" s="349"/>
      <c r="E46" s="349"/>
      <c r="F46" s="349"/>
      <c r="G46" s="349"/>
      <c r="H46" s="349"/>
      <c r="I46" s="349"/>
      <c r="J46" s="349"/>
      <c r="K46" s="349"/>
      <c r="L46" s="349"/>
      <c r="M46" s="349"/>
      <c r="N46" s="349"/>
      <c r="O46" s="349"/>
      <c r="P46" s="349"/>
      <c r="Q46" s="349"/>
      <c r="R46" s="349"/>
      <c r="S46" s="349"/>
      <c r="T46" s="283" t="s">
        <v>454</v>
      </c>
      <c r="U46" s="503" t="s">
        <v>497</v>
      </c>
      <c r="V46" s="465"/>
      <c r="W46" s="465"/>
      <c r="X46" s="465"/>
      <c r="Y46" s="465"/>
      <c r="Z46" s="465"/>
      <c r="AA46" s="465"/>
      <c r="AB46" s="465"/>
      <c r="AC46" s="465"/>
      <c r="AD46" s="466"/>
    </row>
    <row r="47" spans="1:30" ht="21.75" customHeight="1">
      <c r="A47" s="272" t="s">
        <v>348</v>
      </c>
      <c r="B47" s="272" t="s">
        <v>498</v>
      </c>
      <c r="C47" s="293">
        <v>0.14299999999999999</v>
      </c>
      <c r="D47" s="349"/>
      <c r="E47" s="349"/>
      <c r="F47" s="349"/>
      <c r="G47" s="349"/>
      <c r="H47" s="349"/>
      <c r="I47" s="349"/>
      <c r="J47" s="349"/>
      <c r="K47" s="349"/>
      <c r="L47" s="349"/>
      <c r="M47" s="349"/>
      <c r="N47" s="349"/>
      <c r="O47" s="349"/>
      <c r="P47" s="349"/>
      <c r="Q47" s="349"/>
      <c r="R47" s="349"/>
      <c r="S47" s="349"/>
      <c r="T47" s="298" t="s">
        <v>499</v>
      </c>
      <c r="U47" s="503" t="s">
        <v>500</v>
      </c>
      <c r="V47" s="465"/>
      <c r="W47" s="465"/>
      <c r="X47" s="465"/>
      <c r="Y47" s="465"/>
      <c r="Z47" s="465"/>
      <c r="AA47" s="465"/>
      <c r="AB47" s="465"/>
      <c r="AC47" s="465"/>
      <c r="AD47" s="466"/>
    </row>
    <row r="48" spans="1:30" ht="21.75" customHeight="1">
      <c r="A48" s="272" t="s">
        <v>348</v>
      </c>
      <c r="B48" s="272" t="s">
        <v>501</v>
      </c>
      <c r="C48" s="293">
        <v>0.125</v>
      </c>
      <c r="D48" s="349"/>
      <c r="E48" s="349"/>
      <c r="F48" s="349"/>
      <c r="G48" s="349"/>
      <c r="H48" s="349"/>
      <c r="I48" s="349"/>
      <c r="J48" s="349"/>
      <c r="K48" s="349"/>
      <c r="L48" s="349"/>
      <c r="M48" s="349"/>
      <c r="N48" s="349"/>
      <c r="O48" s="349"/>
      <c r="P48" s="349"/>
      <c r="Q48" s="349"/>
      <c r="R48" s="349"/>
      <c r="S48" s="349"/>
      <c r="T48" s="329" t="s">
        <v>502</v>
      </c>
      <c r="U48" s="468"/>
      <c r="V48" s="468"/>
      <c r="W48" s="468"/>
      <c r="X48" s="468"/>
      <c r="Y48" s="468"/>
      <c r="Z48" s="468"/>
      <c r="AA48" s="468"/>
      <c r="AB48" s="468"/>
      <c r="AC48" s="468"/>
      <c r="AD48" s="469"/>
    </row>
    <row r="49" spans="1:30" ht="21.75" customHeight="1">
      <c r="A49" s="272" t="s">
        <v>348</v>
      </c>
      <c r="B49" s="272" t="s">
        <v>503</v>
      </c>
      <c r="C49" s="293">
        <v>0.152</v>
      </c>
      <c r="D49" s="349"/>
      <c r="E49" s="349"/>
      <c r="F49" s="349"/>
      <c r="G49" s="349"/>
      <c r="H49" s="349"/>
      <c r="I49" s="349"/>
      <c r="J49" s="349"/>
      <c r="K49" s="349"/>
      <c r="L49" s="349"/>
      <c r="M49" s="349"/>
      <c r="N49" s="349"/>
      <c r="O49" s="349"/>
      <c r="P49" s="349"/>
      <c r="Q49" s="349"/>
      <c r="R49" s="349"/>
      <c r="S49" s="349"/>
      <c r="T49" s="506"/>
      <c r="U49" s="507"/>
      <c r="V49" s="507"/>
      <c r="W49" s="507"/>
      <c r="X49" s="507"/>
      <c r="Y49" s="507"/>
      <c r="Z49" s="507"/>
      <c r="AA49" s="507"/>
      <c r="AB49" s="507"/>
      <c r="AC49" s="507"/>
      <c r="AD49" s="508"/>
    </row>
    <row r="50" spans="1:30" ht="21.75" customHeight="1">
      <c r="A50" s="272" t="s">
        <v>348</v>
      </c>
      <c r="B50" s="272" t="s">
        <v>504</v>
      </c>
      <c r="C50" s="293">
        <v>0.108</v>
      </c>
      <c r="D50" s="349"/>
      <c r="E50" s="349"/>
      <c r="F50" s="349"/>
      <c r="G50" s="349"/>
      <c r="H50" s="349"/>
      <c r="I50" s="349"/>
      <c r="J50" s="349"/>
      <c r="K50" s="349"/>
      <c r="L50" s="349"/>
      <c r="M50" s="349"/>
      <c r="N50" s="349"/>
      <c r="O50" s="349"/>
      <c r="P50" s="349"/>
      <c r="Q50" s="349"/>
      <c r="R50" s="349"/>
      <c r="S50" s="349"/>
      <c r="T50" s="283" t="s">
        <v>505</v>
      </c>
      <c r="U50" s="503" t="s">
        <v>506</v>
      </c>
      <c r="V50" s="465"/>
      <c r="W50" s="465"/>
      <c r="X50" s="465"/>
      <c r="Y50" s="465"/>
      <c r="Z50" s="465"/>
      <c r="AA50" s="465"/>
      <c r="AB50" s="465"/>
      <c r="AC50" s="465"/>
      <c r="AD50" s="466"/>
    </row>
    <row r="51" spans="1:30" ht="21.75" customHeight="1">
      <c r="A51" s="272" t="s">
        <v>353</v>
      </c>
      <c r="B51" s="272" t="s">
        <v>507</v>
      </c>
      <c r="C51" s="293">
        <v>0.1</v>
      </c>
      <c r="D51" s="349"/>
      <c r="E51" s="349"/>
      <c r="F51" s="349"/>
      <c r="G51" s="349"/>
      <c r="H51" s="349"/>
      <c r="I51" s="349"/>
      <c r="J51" s="349"/>
      <c r="K51" s="349"/>
      <c r="L51" s="349"/>
      <c r="M51" s="349"/>
      <c r="N51" s="349"/>
      <c r="O51" s="349"/>
      <c r="P51" s="349"/>
      <c r="Q51" s="349"/>
      <c r="R51" s="349"/>
      <c r="S51" s="349"/>
      <c r="T51" s="283" t="s">
        <v>508</v>
      </c>
      <c r="U51" s="503" t="s">
        <v>509</v>
      </c>
      <c r="V51" s="465"/>
      <c r="W51" s="465"/>
      <c r="X51" s="465"/>
      <c r="Y51" s="465"/>
      <c r="Z51" s="465"/>
      <c r="AA51" s="465"/>
      <c r="AB51" s="465"/>
      <c r="AC51" s="465"/>
      <c r="AD51" s="466"/>
    </row>
    <row r="52" spans="1:30" ht="21.75" customHeight="1">
      <c r="A52" s="272" t="s">
        <v>353</v>
      </c>
      <c r="B52" s="272" t="s">
        <v>510</v>
      </c>
      <c r="C52" s="293">
        <v>0.14000000000000001</v>
      </c>
      <c r="D52" s="349"/>
      <c r="E52" s="349"/>
      <c r="F52" s="349"/>
      <c r="G52" s="349"/>
      <c r="H52" s="349"/>
      <c r="I52" s="349"/>
      <c r="J52" s="349"/>
      <c r="K52" s="349"/>
      <c r="L52" s="349"/>
      <c r="M52" s="349"/>
      <c r="N52" s="349"/>
      <c r="O52" s="349"/>
      <c r="P52" s="349"/>
      <c r="Q52" s="349"/>
      <c r="R52" s="349"/>
      <c r="S52" s="349"/>
      <c r="T52" s="283" t="s">
        <v>511</v>
      </c>
      <c r="U52" s="503" t="s">
        <v>512</v>
      </c>
      <c r="V52" s="465"/>
      <c r="W52" s="465"/>
      <c r="X52" s="465"/>
      <c r="Y52" s="465"/>
      <c r="Z52" s="465"/>
      <c r="AA52" s="465"/>
      <c r="AB52" s="465"/>
      <c r="AC52" s="465"/>
      <c r="AD52" s="466"/>
    </row>
    <row r="53" spans="1:30" ht="21.75" customHeight="1">
      <c r="A53" s="272" t="s">
        <v>353</v>
      </c>
      <c r="B53" s="272" t="s">
        <v>513</v>
      </c>
      <c r="C53" s="293">
        <v>0.12</v>
      </c>
      <c r="D53" s="349"/>
      <c r="E53" s="349"/>
      <c r="F53" s="349"/>
      <c r="G53" s="349"/>
      <c r="H53" s="349"/>
      <c r="I53" s="349"/>
      <c r="J53" s="349"/>
      <c r="K53" s="349"/>
      <c r="L53" s="349"/>
      <c r="M53" s="349"/>
      <c r="N53" s="349"/>
      <c r="O53" s="349"/>
      <c r="P53" s="349"/>
      <c r="Q53" s="349"/>
      <c r="R53" s="349"/>
      <c r="S53" s="349"/>
      <c r="T53" s="283" t="s">
        <v>514</v>
      </c>
      <c r="U53" s="503" t="s">
        <v>515</v>
      </c>
      <c r="V53" s="465"/>
      <c r="W53" s="465"/>
      <c r="X53" s="465"/>
      <c r="Y53" s="465"/>
      <c r="Z53" s="465"/>
      <c r="AA53" s="465"/>
      <c r="AB53" s="465"/>
      <c r="AC53" s="465"/>
      <c r="AD53" s="466"/>
    </row>
    <row r="54" spans="1:30" ht="21.75" customHeight="1">
      <c r="A54" s="272" t="s">
        <v>353</v>
      </c>
      <c r="B54" s="272" t="s">
        <v>516</v>
      </c>
      <c r="C54" s="293">
        <v>0.1</v>
      </c>
      <c r="D54" s="349"/>
      <c r="E54" s="349"/>
      <c r="F54" s="349"/>
      <c r="G54" s="349"/>
      <c r="H54" s="349"/>
      <c r="I54" s="349"/>
      <c r="J54" s="349"/>
      <c r="K54" s="349"/>
      <c r="L54" s="349"/>
      <c r="M54" s="349"/>
      <c r="N54" s="349"/>
      <c r="O54" s="349"/>
      <c r="P54" s="349"/>
      <c r="Q54" s="349"/>
      <c r="R54" s="349"/>
      <c r="S54" s="349"/>
      <c r="T54" s="283" t="s">
        <v>517</v>
      </c>
      <c r="U54" s="503" t="s">
        <v>518</v>
      </c>
      <c r="V54" s="465"/>
      <c r="W54" s="465"/>
      <c r="X54" s="465"/>
      <c r="Y54" s="465"/>
      <c r="Z54" s="465"/>
      <c r="AA54" s="465"/>
      <c r="AB54" s="465"/>
      <c r="AC54" s="465"/>
      <c r="AD54" s="466"/>
    </row>
    <row r="55" spans="1:30" ht="21.75" customHeight="1">
      <c r="A55" s="272" t="s">
        <v>353</v>
      </c>
      <c r="B55" s="272" t="s">
        <v>519</v>
      </c>
      <c r="C55" s="293">
        <v>0.05</v>
      </c>
      <c r="D55" s="349"/>
      <c r="E55" s="349"/>
      <c r="F55" s="349"/>
      <c r="G55" s="349"/>
      <c r="H55" s="349"/>
      <c r="I55" s="349"/>
      <c r="J55" s="349"/>
      <c r="K55" s="349"/>
      <c r="L55" s="349"/>
      <c r="M55" s="349"/>
      <c r="N55" s="349"/>
      <c r="O55" s="349"/>
      <c r="P55" s="349"/>
      <c r="Q55" s="349"/>
      <c r="R55" s="349"/>
      <c r="S55" s="349"/>
      <c r="T55" s="283" t="s">
        <v>520</v>
      </c>
      <c r="U55" s="503" t="s">
        <v>521</v>
      </c>
      <c r="V55" s="465"/>
      <c r="W55" s="465"/>
      <c r="X55" s="465"/>
      <c r="Y55" s="465"/>
      <c r="Z55" s="465"/>
      <c r="AA55" s="465"/>
      <c r="AB55" s="465"/>
      <c r="AC55" s="465"/>
      <c r="AD55" s="466"/>
    </row>
    <row r="56" spans="1:30" ht="21.75" customHeight="1">
      <c r="A56" s="257" t="s">
        <v>522</v>
      </c>
      <c r="B56" s="257"/>
      <c r="C56" s="299">
        <v>0.25</v>
      </c>
      <c r="D56" s="297"/>
      <c r="E56" s="297"/>
      <c r="F56" s="297"/>
      <c r="G56" s="297"/>
      <c r="H56" s="297"/>
      <c r="I56" s="297"/>
      <c r="J56" s="297"/>
      <c r="K56" s="297"/>
      <c r="L56" s="297"/>
      <c r="M56" s="297"/>
      <c r="N56" s="297"/>
      <c r="O56" s="297"/>
      <c r="P56" s="297"/>
      <c r="Q56" s="297"/>
      <c r="R56" s="297"/>
      <c r="S56" s="297"/>
      <c r="T56" s="300"/>
      <c r="U56" s="301"/>
      <c r="V56" s="301"/>
      <c r="W56" s="301"/>
      <c r="X56" s="301"/>
      <c r="Y56" s="301"/>
      <c r="Z56" s="301"/>
      <c r="AA56" s="301"/>
      <c r="AB56" s="301"/>
      <c r="AC56" s="301"/>
      <c r="AD56" s="301"/>
    </row>
    <row r="57" spans="1:30" ht="21.75" customHeight="1">
      <c r="A57" s="257"/>
      <c r="B57" s="257"/>
      <c r="C57" s="299"/>
      <c r="D57" s="297"/>
      <c r="E57" s="297"/>
      <c r="F57" s="297"/>
      <c r="G57" s="297"/>
      <c r="H57" s="297"/>
      <c r="I57" s="297"/>
      <c r="J57" s="297"/>
      <c r="K57" s="297"/>
      <c r="L57" s="297"/>
      <c r="M57" s="297"/>
      <c r="N57" s="297"/>
      <c r="O57" s="297"/>
      <c r="P57" s="297"/>
      <c r="Q57" s="297"/>
      <c r="R57" s="297"/>
      <c r="S57" s="297"/>
      <c r="T57" s="300"/>
      <c r="U57" s="301"/>
      <c r="V57" s="301"/>
      <c r="W57" s="301"/>
      <c r="X57" s="301"/>
      <c r="Y57" s="301"/>
      <c r="Z57" s="301"/>
      <c r="AA57" s="301"/>
      <c r="AB57" s="301"/>
      <c r="AC57" s="301"/>
      <c r="AD57" s="301"/>
    </row>
    <row r="58" spans="1:30" ht="21.75" customHeight="1">
      <c r="A58" s="257"/>
      <c r="B58" s="257"/>
      <c r="C58" s="299"/>
      <c r="D58" s="297"/>
      <c r="E58" s="297"/>
      <c r="F58" s="297"/>
      <c r="G58" s="297"/>
      <c r="H58" s="297"/>
      <c r="I58" s="297"/>
      <c r="J58" s="297"/>
      <c r="K58" s="297"/>
      <c r="L58" s="297"/>
      <c r="M58" s="297"/>
      <c r="N58" s="297"/>
      <c r="O58" s="297"/>
      <c r="P58" s="297"/>
      <c r="Q58" s="297"/>
      <c r="R58" s="297"/>
      <c r="S58" s="297"/>
      <c r="T58" s="300"/>
      <c r="U58" s="301"/>
      <c r="V58" s="301"/>
      <c r="W58" s="301"/>
      <c r="X58" s="301"/>
      <c r="Y58" s="301"/>
      <c r="Z58" s="301"/>
      <c r="AA58" s="301"/>
      <c r="AB58" s="301"/>
      <c r="AC58" s="301"/>
      <c r="AD58" s="301"/>
    </row>
    <row r="59" spans="1:30" ht="21.75" customHeight="1">
      <c r="A59" s="257"/>
      <c r="B59" s="257"/>
      <c r="C59" s="299"/>
      <c r="D59" s="297"/>
      <c r="E59" s="297"/>
      <c r="F59" s="297"/>
      <c r="G59" s="297"/>
      <c r="H59" s="297"/>
      <c r="I59" s="297"/>
      <c r="J59" s="297"/>
      <c r="K59" s="297"/>
      <c r="L59" s="297"/>
      <c r="M59" s="297"/>
      <c r="N59" s="297"/>
      <c r="O59" s="297"/>
      <c r="P59" s="297"/>
      <c r="Q59" s="297"/>
      <c r="R59" s="297"/>
      <c r="S59" s="297"/>
      <c r="T59" s="300"/>
      <c r="U59" s="301"/>
      <c r="V59" s="301"/>
      <c r="W59" s="301"/>
      <c r="X59" s="301"/>
      <c r="Y59" s="301"/>
      <c r="Z59" s="301"/>
      <c r="AA59" s="301"/>
      <c r="AB59" s="301"/>
      <c r="AC59" s="301"/>
      <c r="AD59" s="301"/>
    </row>
    <row r="60" spans="1:30" ht="21.75" customHeight="1">
      <c r="A60" s="257"/>
      <c r="B60" s="257"/>
      <c r="C60" s="299"/>
      <c r="D60" s="297"/>
      <c r="E60" s="297"/>
      <c r="F60" s="297"/>
      <c r="G60" s="297"/>
      <c r="H60" s="297"/>
      <c r="I60" s="297"/>
      <c r="J60" s="297"/>
      <c r="K60" s="297"/>
      <c r="L60" s="297"/>
      <c r="M60" s="297"/>
      <c r="N60" s="297"/>
      <c r="O60" s="297"/>
      <c r="P60" s="297"/>
      <c r="Q60" s="297"/>
      <c r="R60" s="297"/>
      <c r="S60" s="297"/>
      <c r="T60" s="300"/>
      <c r="U60" s="301"/>
      <c r="V60" s="301"/>
      <c r="W60" s="301"/>
      <c r="X60" s="301"/>
      <c r="Y60" s="301"/>
      <c r="Z60" s="301"/>
      <c r="AA60" s="301"/>
      <c r="AB60" s="301"/>
      <c r="AC60" s="301"/>
      <c r="AD60" s="301"/>
    </row>
    <row r="61" spans="1:30" ht="21.75" customHeight="1">
      <c r="A61" s="257"/>
      <c r="B61" s="257"/>
      <c r="C61" s="299"/>
      <c r="D61" s="297"/>
      <c r="E61" s="297"/>
      <c r="F61" s="297"/>
      <c r="G61" s="297"/>
      <c r="H61" s="297"/>
      <c r="I61" s="297"/>
      <c r="J61" s="297"/>
      <c r="K61" s="297"/>
      <c r="L61" s="297"/>
      <c r="M61" s="297"/>
      <c r="N61" s="297"/>
      <c r="O61" s="297"/>
      <c r="P61" s="297"/>
      <c r="Q61" s="297"/>
      <c r="R61" s="297"/>
      <c r="S61" s="297"/>
      <c r="T61" s="300"/>
      <c r="U61" s="301"/>
      <c r="V61" s="301"/>
      <c r="W61" s="301"/>
      <c r="X61" s="301"/>
      <c r="Y61" s="301"/>
      <c r="Z61" s="301"/>
      <c r="AA61" s="301"/>
      <c r="AB61" s="301"/>
      <c r="AC61" s="301"/>
      <c r="AD61" s="301"/>
    </row>
    <row r="62" spans="1:30" ht="21.75" customHeight="1">
      <c r="A62" s="257"/>
      <c r="B62" s="257"/>
      <c r="C62" s="299"/>
      <c r="D62" s="297"/>
      <c r="E62" s="297"/>
      <c r="F62" s="297"/>
      <c r="G62" s="297"/>
      <c r="H62" s="297"/>
      <c r="I62" s="297"/>
      <c r="J62" s="297"/>
      <c r="K62" s="297"/>
      <c r="L62" s="297"/>
      <c r="M62" s="297"/>
      <c r="N62" s="297"/>
      <c r="O62" s="297"/>
      <c r="P62" s="297"/>
      <c r="Q62" s="297"/>
      <c r="R62" s="297"/>
      <c r="S62" s="297"/>
      <c r="T62" s="300"/>
      <c r="U62" s="301"/>
      <c r="V62" s="301"/>
      <c r="W62" s="301"/>
      <c r="X62" s="301"/>
      <c r="Y62" s="301"/>
      <c r="Z62" s="301"/>
      <c r="AA62" s="301"/>
      <c r="AB62" s="301"/>
      <c r="AC62" s="301"/>
      <c r="AD62" s="301"/>
    </row>
    <row r="63" spans="1:30" ht="21.75" customHeight="1">
      <c r="A63" s="257"/>
      <c r="B63" s="257"/>
      <c r="C63" s="299"/>
      <c r="D63" s="297"/>
      <c r="E63" s="297"/>
      <c r="F63" s="297"/>
      <c r="G63" s="297"/>
      <c r="H63" s="297"/>
      <c r="I63" s="297"/>
      <c r="J63" s="297"/>
      <c r="K63" s="297"/>
      <c r="L63" s="297"/>
      <c r="M63" s="297"/>
      <c r="N63" s="297"/>
      <c r="O63" s="297"/>
      <c r="P63" s="297"/>
      <c r="Q63" s="297"/>
      <c r="R63" s="297"/>
      <c r="S63" s="297"/>
      <c r="T63" s="300"/>
      <c r="U63" s="301"/>
      <c r="V63" s="301"/>
      <c r="W63" s="301"/>
      <c r="X63" s="301"/>
      <c r="Y63" s="301"/>
      <c r="Z63" s="301"/>
      <c r="AA63" s="301"/>
      <c r="AB63" s="301"/>
      <c r="AC63" s="301"/>
      <c r="AD63" s="301"/>
    </row>
    <row r="64" spans="1:30" ht="21.75" customHeight="1">
      <c r="A64" s="257"/>
      <c r="B64" s="257"/>
      <c r="C64" s="299"/>
      <c r="D64" s="297"/>
      <c r="E64" s="297"/>
      <c r="F64" s="297"/>
      <c r="G64" s="297"/>
      <c r="H64" s="297"/>
      <c r="I64" s="297"/>
      <c r="J64" s="297"/>
      <c r="K64" s="297"/>
      <c r="L64" s="297"/>
      <c r="M64" s="297"/>
      <c r="N64" s="297"/>
      <c r="O64" s="297"/>
      <c r="P64" s="297"/>
      <c r="Q64" s="297"/>
      <c r="R64" s="297"/>
      <c r="S64" s="297"/>
      <c r="T64" s="300"/>
      <c r="U64" s="301"/>
      <c r="V64" s="301"/>
      <c r="W64" s="301"/>
      <c r="X64" s="301"/>
      <c r="Y64" s="301"/>
      <c r="Z64" s="301"/>
      <c r="AA64" s="301"/>
      <c r="AB64" s="301"/>
      <c r="AC64" s="301"/>
      <c r="AD64" s="301"/>
    </row>
    <row r="65" spans="1:30" ht="21.75" customHeight="1">
      <c r="A65" s="257"/>
      <c r="B65" s="257"/>
      <c r="C65" s="299"/>
      <c r="D65" s="297"/>
      <c r="E65" s="297"/>
      <c r="F65" s="297"/>
      <c r="G65" s="297"/>
      <c r="H65" s="297"/>
      <c r="I65" s="297"/>
      <c r="J65" s="297"/>
      <c r="K65" s="297"/>
      <c r="L65" s="297"/>
      <c r="M65" s="297"/>
      <c r="N65" s="297"/>
      <c r="O65" s="297"/>
      <c r="P65" s="297"/>
      <c r="Q65" s="297"/>
      <c r="R65" s="297"/>
      <c r="S65" s="297"/>
      <c r="T65" s="300"/>
      <c r="U65" s="301"/>
      <c r="V65" s="301"/>
      <c r="W65" s="301"/>
      <c r="X65" s="301"/>
      <c r="Y65" s="301"/>
      <c r="Z65" s="301"/>
      <c r="AA65" s="301"/>
      <c r="AB65" s="301"/>
      <c r="AC65" s="301"/>
      <c r="AD65" s="301"/>
    </row>
  </sheetData>
  <mergeCells count="63">
    <mergeCell ref="U54:AD54"/>
    <mergeCell ref="U55:AD55"/>
    <mergeCell ref="U46:AD46"/>
    <mergeCell ref="U50:AD50"/>
    <mergeCell ref="U51:AD51"/>
    <mergeCell ref="U52:AD52"/>
    <mergeCell ref="U53:AD53"/>
    <mergeCell ref="U47:AD47"/>
    <mergeCell ref="T48:AD49"/>
    <mergeCell ref="U32:AD32"/>
    <mergeCell ref="D33:S55"/>
    <mergeCell ref="U33:AD33"/>
    <mergeCell ref="U34:AD34"/>
    <mergeCell ref="U35:AD35"/>
    <mergeCell ref="U36:AD36"/>
    <mergeCell ref="T37:AD38"/>
    <mergeCell ref="U39:AD39"/>
    <mergeCell ref="U40:AD40"/>
    <mergeCell ref="U41:AD41"/>
    <mergeCell ref="U42:AD42"/>
    <mergeCell ref="U43:AD43"/>
    <mergeCell ref="U44:AD44"/>
    <mergeCell ref="U45:AD45"/>
    <mergeCell ref="A1:AD1"/>
    <mergeCell ref="D2:D32"/>
    <mergeCell ref="N2:N32"/>
    <mergeCell ref="P2:R2"/>
    <mergeCell ref="S2:S32"/>
    <mergeCell ref="T6:AD7"/>
    <mergeCell ref="K7:M32"/>
    <mergeCell ref="T30:AD31"/>
    <mergeCell ref="O22:R32"/>
    <mergeCell ref="U22:AD22"/>
    <mergeCell ref="U23:AD23"/>
    <mergeCell ref="T24:AD25"/>
    <mergeCell ref="U26:AD26"/>
    <mergeCell ref="U27:AD27"/>
    <mergeCell ref="U28:AD28"/>
    <mergeCell ref="T18:AD19"/>
    <mergeCell ref="U20:AD20"/>
    <mergeCell ref="P21:R21"/>
    <mergeCell ref="U21:AD21"/>
    <mergeCell ref="U29:AD29"/>
    <mergeCell ref="U15:AD15"/>
    <mergeCell ref="K3:K6"/>
    <mergeCell ref="A8:C8"/>
    <mergeCell ref="U16:AD16"/>
    <mergeCell ref="U17:AD17"/>
    <mergeCell ref="U10:AD10"/>
    <mergeCell ref="U11:AD11"/>
    <mergeCell ref="U12:AD12"/>
    <mergeCell ref="U13:AD13"/>
    <mergeCell ref="U14:AD14"/>
    <mergeCell ref="B2:C2"/>
    <mergeCell ref="B7:C7"/>
    <mergeCell ref="U8:AD8"/>
    <mergeCell ref="B9:C9"/>
    <mergeCell ref="U9:AD9"/>
    <mergeCell ref="E2:M2"/>
    <mergeCell ref="E3:J3"/>
    <mergeCell ref="L3:M3"/>
    <mergeCell ref="T2:AD3"/>
    <mergeCell ref="T4:AD5"/>
  </mergeCells>
  <hyperlinks>
    <hyperlink ref="E5" r:id="rId1" xr:uid="{00000000-0004-0000-0600-000000000000}"/>
    <hyperlink ref="U8" r:id="rId2" xr:uid="{00000000-0004-0000-0600-000001000000}"/>
    <hyperlink ref="U9" r:id="rId3" xr:uid="{00000000-0004-0000-0600-000002000000}"/>
    <hyperlink ref="U10" r:id="rId4" xr:uid="{00000000-0004-0000-0600-000003000000}"/>
    <hyperlink ref="U11" r:id="rId5" xr:uid="{00000000-0004-0000-0600-000004000000}"/>
    <hyperlink ref="U12" r:id="rId6" xr:uid="{00000000-0004-0000-0600-000005000000}"/>
    <hyperlink ref="U13" r:id="rId7" xr:uid="{00000000-0004-0000-0600-000006000000}"/>
    <hyperlink ref="U14" r:id="rId8" xr:uid="{00000000-0004-0000-0600-000007000000}"/>
    <hyperlink ref="U15" r:id="rId9" xr:uid="{00000000-0004-0000-0600-000008000000}"/>
    <hyperlink ref="U16" r:id="rId10" xr:uid="{00000000-0004-0000-0600-000009000000}"/>
    <hyperlink ref="U17" r:id="rId11" xr:uid="{00000000-0004-0000-0600-00000A000000}"/>
    <hyperlink ref="U20" r:id="rId12" xr:uid="{00000000-0004-0000-0600-00000B000000}"/>
    <hyperlink ref="U21" r:id="rId13" xr:uid="{00000000-0004-0000-0600-00000C000000}"/>
    <hyperlink ref="U22" r:id="rId14" xr:uid="{00000000-0004-0000-0600-00000D000000}"/>
    <hyperlink ref="U23" r:id="rId15" xr:uid="{00000000-0004-0000-0600-00000E000000}"/>
    <hyperlink ref="U26" r:id="rId16" xr:uid="{00000000-0004-0000-0600-00000F000000}"/>
    <hyperlink ref="U27" r:id="rId17" xr:uid="{00000000-0004-0000-0600-000010000000}"/>
    <hyperlink ref="U28" r:id="rId18" xr:uid="{00000000-0004-0000-0600-000011000000}"/>
    <hyperlink ref="U29" r:id="rId19" xr:uid="{00000000-0004-0000-0600-000012000000}"/>
    <hyperlink ref="U32" r:id="rId20" xr:uid="{00000000-0004-0000-0600-000013000000}"/>
    <hyperlink ref="U33" r:id="rId21" xr:uid="{00000000-0004-0000-0600-000014000000}"/>
    <hyperlink ref="U34" r:id="rId22" xr:uid="{00000000-0004-0000-0600-000015000000}"/>
    <hyperlink ref="U35" r:id="rId23" xr:uid="{00000000-0004-0000-0600-000016000000}"/>
    <hyperlink ref="U36" r:id="rId24" xr:uid="{00000000-0004-0000-0600-000017000000}"/>
    <hyperlink ref="U39" r:id="rId25" xr:uid="{00000000-0004-0000-0600-000018000000}"/>
    <hyperlink ref="U40" r:id="rId26" xr:uid="{00000000-0004-0000-0600-000019000000}"/>
    <hyperlink ref="U41" r:id="rId27" xr:uid="{00000000-0004-0000-0600-00001A000000}"/>
    <hyperlink ref="U42" r:id="rId28" xr:uid="{00000000-0004-0000-0600-00001B000000}"/>
    <hyperlink ref="U43" r:id="rId29" xr:uid="{00000000-0004-0000-0600-00001C000000}"/>
    <hyperlink ref="U44" r:id="rId30" xr:uid="{00000000-0004-0000-0600-00001D000000}"/>
    <hyperlink ref="U45" r:id="rId31" xr:uid="{00000000-0004-0000-0600-00001E000000}"/>
    <hyperlink ref="U46" r:id="rId32" xr:uid="{00000000-0004-0000-0600-00001F000000}"/>
    <hyperlink ref="U47" r:id="rId33" xr:uid="{00000000-0004-0000-0600-000020000000}"/>
    <hyperlink ref="U50" r:id="rId34" xr:uid="{00000000-0004-0000-0600-000021000000}"/>
    <hyperlink ref="U51" r:id="rId35" xr:uid="{00000000-0004-0000-0600-000022000000}"/>
    <hyperlink ref="U52" r:id="rId36" xr:uid="{00000000-0004-0000-0600-000023000000}"/>
    <hyperlink ref="U53" r:id="rId37" xr:uid="{00000000-0004-0000-0600-000024000000}"/>
    <hyperlink ref="U54" r:id="rId38" xr:uid="{00000000-0004-0000-0600-000025000000}"/>
    <hyperlink ref="U55" r:id="rId39" xr:uid="{00000000-0004-0000-0600-000026000000}"/>
  </hyperlinks>
  <pageMargins left="0.7" right="0.7" top="0.75" bottom="0.75" header="0" footer="0"/>
  <pageSetup orientation="landscape"/>
  <drawing r:id="rId4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EC7280BFA4C349B2C5146800495C13" ma:contentTypeVersion="16" ma:contentTypeDescription="Create a new document." ma:contentTypeScope="" ma:versionID="5a922144f75998ab75635adb47b810b3">
  <xsd:schema xmlns:xsd="http://www.w3.org/2001/XMLSchema" xmlns:xs="http://www.w3.org/2001/XMLSchema" xmlns:p="http://schemas.microsoft.com/office/2006/metadata/properties" xmlns:ns2="b0f6d52d-4bd3-4024-998b-5680eb95357d" xmlns:ns3="d55390a9-f1cb-47fc-8620-e17905c076b1" targetNamespace="http://schemas.microsoft.com/office/2006/metadata/properties" ma:root="true" ma:fieldsID="e3084522fea4e6334d088c964a5c64b9" ns2:_="" ns3:_="">
    <xsd:import namespace="b0f6d52d-4bd3-4024-998b-5680eb95357d"/>
    <xsd:import namespace="d55390a9-f1cb-47fc-8620-e17905c076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f6d52d-4bd3-4024-998b-5680eb953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e144df7-ebe4-4a28-8773-bd8d8eab038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5390a9-f1cb-47fc-8620-e17905c076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f573b23-fe81-4a77-a3bc-b7df79f7ecf6}" ma:internalName="TaxCatchAll" ma:showField="CatchAllData" ma:web="d55390a9-f1cb-47fc-8620-e17905c076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559E56-0EDF-4ACB-902F-92C7BA7DE864}"/>
</file>

<file path=customXml/itemProps2.xml><?xml version="1.0" encoding="utf-8"?>
<ds:datastoreItem xmlns:ds="http://schemas.openxmlformats.org/officeDocument/2006/customXml" ds:itemID="{99B02BA9-4592-4BB4-A8DC-1DBBA27913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2024-05-24T12:32:13Z</dcterms:created>
  <dcterms:modified xsi:type="dcterms:W3CDTF">2024-05-24T12:32:13Z</dcterms:modified>
  <cp:category/>
  <cp:contentStatus/>
</cp:coreProperties>
</file>